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105" yWindow="-15" windowWidth="11910" windowHeight="9840" tabRatio="802"/>
  </bookViews>
  <sheets>
    <sheet name="1. Coleta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  <sheet name="8-Setores Coleta" sheetId="10" r:id="rId8"/>
  </sheets>
  <definedNames>
    <definedName name="AbaDeprec" localSheetId="7">#REF!</definedName>
    <definedName name="AbaRemun" localSheetId="7">#REF!</definedName>
    <definedName name="_xlnm.Print_Area" localSheetId="0">'1. Coleta'!$A$1:$F$323</definedName>
    <definedName name="_xlnm.Print_Area" localSheetId="1">'2.Encargos Sociais'!$A$1:$C$33</definedName>
    <definedName name="_xlnm.Print_Titles" localSheetId="0">'1. Coleta'!$1:$17</definedName>
  </definedNames>
  <calcPr calcId="125725"/>
</workbook>
</file>

<file path=xl/calcChain.xml><?xml version="1.0" encoding="utf-8"?>
<calcChain xmlns="http://schemas.openxmlformats.org/spreadsheetml/2006/main">
  <c r="C286" i="2"/>
  <c r="C281"/>
  <c r="E56" l="1"/>
  <c r="C134" s="1"/>
  <c r="E55"/>
  <c r="C149" s="1"/>
  <c r="E149" s="1"/>
  <c r="E53"/>
  <c r="C139" s="1"/>
  <c r="E139" s="1"/>
  <c r="C147" l="1"/>
  <c r="C133"/>
  <c r="E133" s="1"/>
  <c r="C150"/>
  <c r="E150" s="1"/>
  <c r="C131"/>
  <c r="E131" s="1"/>
  <c r="A31"/>
  <c r="C158"/>
  <c r="E158" s="1"/>
  <c r="C157"/>
  <c r="E157" s="1"/>
  <c r="E297" l="1"/>
  <c r="C183"/>
  <c r="C27" i="5" l="1"/>
  <c r="C268" i="2" l="1"/>
  <c r="A44"/>
  <c r="A43"/>
  <c r="A42"/>
  <c r="A41"/>
  <c r="C269"/>
  <c r="E286"/>
  <c r="E282"/>
  <c r="D275"/>
  <c r="E275" s="1"/>
  <c r="E271"/>
  <c r="E265"/>
  <c r="F287" l="1"/>
  <c r="E44" s="1"/>
  <c r="C277"/>
  <c r="D268"/>
  <c r="E268" s="1"/>
  <c r="D269" s="1"/>
  <c r="E269" l="1"/>
  <c r="C278"/>
  <c r="D279" s="1"/>
  <c r="E279" s="1"/>
  <c r="E280" s="1"/>
  <c r="D270" l="1"/>
  <c r="E270" s="1"/>
  <c r="F271" s="1"/>
  <c r="D281"/>
  <c r="E42" l="1"/>
  <c r="E281"/>
  <c r="F282" s="1"/>
  <c r="A25"/>
  <c r="A23"/>
  <c r="E54"/>
  <c r="A56"/>
  <c r="A54"/>
  <c r="A53"/>
  <c r="A150"/>
  <c r="A148"/>
  <c r="C142"/>
  <c r="E142" s="1"/>
  <c r="C148" l="1"/>
  <c r="E148" s="1"/>
  <c r="C132"/>
  <c r="E132" s="1"/>
  <c r="C140"/>
  <c r="E140" s="1"/>
  <c r="C156"/>
  <c r="E156" s="1"/>
  <c r="E43"/>
  <c r="E41" s="1"/>
  <c r="A142"/>
  <c r="A140"/>
  <c r="E134"/>
  <c r="A134"/>
  <c r="A132"/>
  <c r="C126"/>
  <c r="E126" s="1"/>
  <c r="C125"/>
  <c r="E125" s="1"/>
  <c r="C124"/>
  <c r="E124" s="1"/>
  <c r="C123"/>
  <c r="A126"/>
  <c r="A158" s="1"/>
  <c r="A124"/>
  <c r="A156" s="1"/>
  <c r="C118"/>
  <c r="C117"/>
  <c r="C116"/>
  <c r="C115"/>
  <c r="A123" l="1"/>
  <c r="A155" s="1"/>
  <c r="E109"/>
  <c r="E101"/>
  <c r="D104" s="1"/>
  <c r="E104" s="1"/>
  <c r="E85"/>
  <c r="E79"/>
  <c r="D116" s="1"/>
  <c r="E116" s="1"/>
  <c r="C13" i="9"/>
  <c r="D80" i="2" l="1"/>
  <c r="E80" s="1"/>
  <c r="E81" s="1"/>
  <c r="D82" s="1"/>
  <c r="E105"/>
  <c r="D106" s="1"/>
  <c r="D118"/>
  <c r="E118" s="1"/>
  <c r="C6" i="9"/>
  <c r="C7" s="1"/>
  <c r="D208" i="2" l="1"/>
  <c r="A28"/>
  <c r="A131" l="1"/>
  <c r="A125"/>
  <c r="A133" s="1"/>
  <c r="A139"/>
  <c r="A147" l="1"/>
  <c r="A30" l="1"/>
  <c r="L35" i="10" l="1"/>
  <c r="H35"/>
  <c r="L34"/>
  <c r="M34" s="1"/>
  <c r="L33"/>
  <c r="M33" s="1"/>
  <c r="M32"/>
  <c r="M31"/>
  <c r="L31"/>
  <c r="M30"/>
  <c r="L29"/>
  <c r="M29" s="1"/>
  <c r="L28"/>
  <c r="M28" s="1"/>
  <c r="L27"/>
  <c r="H27"/>
  <c r="M26"/>
  <c r="L26"/>
  <c r="L25"/>
  <c r="M25" s="1"/>
  <c r="M24"/>
  <c r="L24"/>
  <c r="L23"/>
  <c r="M23" s="1"/>
  <c r="M22"/>
  <c r="M21"/>
  <c r="L20"/>
  <c r="M20" s="1"/>
  <c r="M19"/>
  <c r="L19"/>
  <c r="M18"/>
  <c r="M17"/>
  <c r="M16"/>
  <c r="L16"/>
  <c r="M15"/>
  <c r="L15"/>
  <c r="M14"/>
  <c r="M13"/>
  <c r="M12"/>
  <c r="M11"/>
  <c r="M10"/>
  <c r="L10"/>
  <c r="M9"/>
  <c r="L9"/>
  <c r="M8"/>
  <c r="L8"/>
  <c r="M7"/>
  <c r="L7"/>
  <c r="M6"/>
  <c r="L6"/>
  <c r="M5"/>
  <c r="L5"/>
  <c r="M4"/>
  <c r="M3"/>
  <c r="M35" l="1"/>
  <c r="M27"/>
  <c r="M36" s="1"/>
  <c r="B232" i="2" s="1"/>
  <c r="C236" s="1"/>
  <c r="C225" l="1"/>
  <c r="C224"/>
  <c r="C226"/>
  <c r="A47" l="1"/>
  <c r="A46"/>
  <c r="A45"/>
  <c r="A33"/>
  <c r="A32"/>
  <c r="A21"/>
  <c r="C9" i="9" l="1"/>
  <c r="C14" s="1"/>
  <c r="C16" s="1"/>
  <c r="C195" i="2"/>
  <c r="C200"/>
  <c r="F135" l="1"/>
  <c r="E60"/>
  <c r="C174" l="1"/>
  <c r="C155"/>
  <c r="E155" s="1"/>
  <c r="F159" s="1"/>
  <c r="E31" s="1"/>
  <c r="E147"/>
  <c r="F151" s="1"/>
  <c r="E57"/>
  <c r="E28"/>
  <c r="C141"/>
  <c r="E141" s="1"/>
  <c r="C219"/>
  <c r="C214"/>
  <c r="D244"/>
  <c r="D242"/>
  <c r="D240"/>
  <c r="D238"/>
  <c r="E30" l="1"/>
  <c r="E166"/>
  <c r="E167"/>
  <c r="E168"/>
  <c r="E169"/>
  <c r="E170"/>
  <c r="E171"/>
  <c r="E172"/>
  <c r="C259" l="1"/>
  <c r="A40"/>
  <c r="A39"/>
  <c r="A38"/>
  <c r="A37"/>
  <c r="A36"/>
  <c r="A35"/>
  <c r="A34"/>
  <c r="A29"/>
  <c r="A27"/>
  <c r="A26"/>
  <c r="A24"/>
  <c r="A22"/>
  <c r="C14" i="8"/>
  <c r="E308" i="2"/>
  <c r="E228"/>
  <c r="E220"/>
  <c r="E204"/>
  <c r="E184"/>
  <c r="E175"/>
  <c r="E97"/>
  <c r="E75"/>
  <c r="C8" i="4"/>
  <c r="F6"/>
  <c r="E6"/>
  <c r="D6"/>
  <c r="C11" i="8"/>
  <c r="C29" i="5"/>
  <c r="E89" i="2"/>
  <c r="C257"/>
  <c r="E257" s="1"/>
  <c r="C238"/>
  <c r="E238" s="1"/>
  <c r="D236"/>
  <c r="D245" s="1"/>
  <c r="E192"/>
  <c r="D213"/>
  <c r="C201"/>
  <c r="C196"/>
  <c r="C304"/>
  <c r="C306" s="1"/>
  <c r="E306" s="1"/>
  <c r="D307" s="1"/>
  <c r="E307" s="1"/>
  <c r="C197"/>
  <c r="C213" s="1"/>
  <c r="A55"/>
  <c r="A60"/>
  <c r="E69"/>
  <c r="D115" s="1"/>
  <c r="A141"/>
  <c r="A149" s="1"/>
  <c r="E173"/>
  <c r="D179"/>
  <c r="E179" s="1"/>
  <c r="D180"/>
  <c r="E180" s="1"/>
  <c r="D181"/>
  <c r="E181" s="1"/>
  <c r="E182"/>
  <c r="E255"/>
  <c r="E226"/>
  <c r="E225"/>
  <c r="E293"/>
  <c r="E296"/>
  <c r="E294"/>
  <c r="E295"/>
  <c r="C13" i="4" l="1"/>
  <c r="C316" i="2" s="1"/>
  <c r="F298"/>
  <c r="F300" s="1"/>
  <c r="D117"/>
  <c r="E117" s="1"/>
  <c r="A157"/>
  <c r="C210"/>
  <c r="D224"/>
  <c r="D92"/>
  <c r="E92" s="1"/>
  <c r="E93" s="1"/>
  <c r="C31" i="5"/>
  <c r="C32" s="1"/>
  <c r="C30"/>
  <c r="C25" i="8" s="1"/>
  <c r="D195" i="2"/>
  <c r="E195" s="1"/>
  <c r="C242"/>
  <c r="E242" s="1"/>
  <c r="C244"/>
  <c r="E244" s="1"/>
  <c r="E236"/>
  <c r="E197"/>
  <c r="C215" s="1"/>
  <c r="D174"/>
  <c r="E123"/>
  <c r="F127" s="1"/>
  <c r="E115"/>
  <c r="E213"/>
  <c r="F143"/>
  <c r="D70"/>
  <c r="E70" s="1"/>
  <c r="E71" s="1"/>
  <c r="D72" s="1"/>
  <c r="C240"/>
  <c r="E240" s="1"/>
  <c r="C250"/>
  <c r="E250" s="1"/>
  <c r="F251" s="1"/>
  <c r="E304"/>
  <c r="D305" s="1"/>
  <c r="E305" s="1"/>
  <c r="F308" s="1"/>
  <c r="F310" s="1"/>
  <c r="E208"/>
  <c r="D258"/>
  <c r="E258" s="1"/>
  <c r="D259" s="1"/>
  <c r="E259" s="1"/>
  <c r="F260" s="1"/>
  <c r="D183"/>
  <c r="F119" l="1"/>
  <c r="E26" s="1"/>
  <c r="F246"/>
  <c r="E38" s="1"/>
  <c r="E45"/>
  <c r="E40"/>
  <c r="E39"/>
  <c r="C24" i="8"/>
  <c r="C37" i="5"/>
  <c r="C21" i="8" s="1"/>
  <c r="C29" s="1"/>
  <c r="D196" i="2"/>
  <c r="E196" s="1"/>
  <c r="E224"/>
  <c r="D227" s="1"/>
  <c r="E227" s="1"/>
  <c r="F228" s="1"/>
  <c r="C211"/>
  <c r="D212" s="1"/>
  <c r="E212" s="1"/>
  <c r="C22" i="8"/>
  <c r="C13" s="1"/>
  <c r="C19" s="1"/>
  <c r="C28" s="1"/>
  <c r="E27" i="2"/>
  <c r="E29"/>
  <c r="E183"/>
  <c r="F184" s="1"/>
  <c r="E174"/>
  <c r="F175" s="1"/>
  <c r="D200"/>
  <c r="E200" s="1"/>
  <c r="D94"/>
  <c r="F186" l="1"/>
  <c r="E32" s="1"/>
  <c r="E37"/>
  <c r="E46"/>
  <c r="D201"/>
  <c r="E201" s="1"/>
  <c r="E202" s="1"/>
  <c r="D203" s="1"/>
  <c r="E203" s="1"/>
  <c r="F204" s="1"/>
  <c r="C23" i="8"/>
  <c r="C26" s="1"/>
  <c r="C30"/>
  <c r="C216" i="2"/>
  <c r="D217" s="1"/>
  <c r="E217" s="1"/>
  <c r="E218" s="1"/>
  <c r="D219" s="1"/>
  <c r="E219" s="1"/>
  <c r="F220" s="1"/>
  <c r="F289" l="1"/>
  <c r="E35"/>
  <c r="C31" i="8"/>
  <c r="E36" i="2"/>
  <c r="E34" l="1"/>
  <c r="E33"/>
  <c r="C94"/>
  <c r="E94" s="1"/>
  <c r="C106"/>
  <c r="E106" s="1"/>
  <c r="E107" s="1"/>
  <c r="D108" s="1"/>
  <c r="E108" s="1"/>
  <c r="F109" s="1"/>
  <c r="C82"/>
  <c r="E82" s="1"/>
  <c r="C72"/>
  <c r="E72" s="1"/>
  <c r="E73" s="1"/>
  <c r="D74" s="1"/>
  <c r="E74" s="1"/>
  <c r="F75" s="1"/>
  <c r="E95" l="1"/>
  <c r="D96" s="1"/>
  <c r="E83"/>
  <c r="D84" s="1"/>
  <c r="E25"/>
  <c r="E22"/>
  <c r="E96" l="1"/>
  <c r="F97" s="1"/>
  <c r="E24" s="1"/>
  <c r="E84"/>
  <c r="F85" s="1"/>
  <c r="F161" l="1"/>
  <c r="F312" s="1"/>
  <c r="E23"/>
  <c r="D316" l="1"/>
  <c r="E316" s="1"/>
  <c r="F317" s="1"/>
  <c r="F319" s="1"/>
  <c r="E47" s="1"/>
  <c r="E21"/>
  <c r="F322" l="1"/>
  <c r="E48"/>
  <c r="F31" s="1"/>
  <c r="F26" l="1"/>
  <c r="F43"/>
  <c r="F46"/>
  <c r="F22"/>
  <c r="F29"/>
  <c r="F21"/>
  <c r="F28"/>
  <c r="F32"/>
  <c r="F47"/>
  <c r="F44"/>
  <c r="F33"/>
  <c r="F45"/>
  <c r="F42"/>
  <c r="F38"/>
  <c r="F23"/>
  <c r="F40"/>
  <c r="F35"/>
  <c r="F37"/>
  <c r="F41"/>
  <c r="F24"/>
  <c r="F36"/>
  <c r="F34"/>
  <c r="F27"/>
  <c r="F25"/>
  <c r="F30"/>
  <c r="F39"/>
  <c r="F48" l="1"/>
</calcChain>
</file>

<file path=xl/comments1.xml><?xml version="1.0" encoding="utf-8"?>
<comments xmlns="http://schemas.openxmlformats.org/spreadsheetml/2006/main">
  <authors>
    <author>Clauber Bridi</author>
    <author>AmbienteII</author>
  </authors>
  <commentList>
    <comment ref="A19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3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72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4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9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4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9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90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1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2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4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6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01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102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103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4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8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13" author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14" author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15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16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17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18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3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4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5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6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1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2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3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4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9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0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1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2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7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8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9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50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55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56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57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58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6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6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7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8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9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7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0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7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1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7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2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73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7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8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8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82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A189" authorId="1">
      <text>
        <r>
          <rPr>
            <b/>
            <sz val="8"/>
            <color indexed="81"/>
            <rFont val="Tahoma"/>
            <charset val="1"/>
          </rPr>
          <t>AmbienteII:</t>
        </r>
        <r>
          <rPr>
            <sz val="8"/>
            <color indexed="81"/>
            <rFont val="Tahoma"/>
            <charset val="1"/>
          </rPr>
          <t xml:space="preserve">
Preencher com o tipo do veículo</t>
        </r>
      </text>
    </comment>
    <comment ref="D192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93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94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95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8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9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200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3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9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6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32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35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5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7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7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9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9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41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41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43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43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50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A255" authorId="1">
      <text>
        <r>
          <rPr>
            <b/>
            <sz val="8"/>
            <color indexed="81"/>
            <rFont val="Tahoma"/>
            <charset val="1"/>
          </rPr>
          <t>AmbienteII:</t>
        </r>
        <r>
          <rPr>
            <sz val="8"/>
            <color indexed="81"/>
            <rFont val="Tahoma"/>
            <charset val="1"/>
          </rPr>
          <t xml:space="preserve">
Preencher com o tipo dos pneus</t>
        </r>
      </text>
    </comment>
    <comment ref="C255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55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6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7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8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265" authorId="0">
      <text>
        <r>
          <rPr>
            <sz val="9"/>
            <color indexed="81"/>
            <rFont val="Tahoma"/>
            <family val="2"/>
          </rPr>
          <t>Informar o preço unitário do contêiner</t>
        </r>
      </text>
    </comment>
    <comment ref="C266" authorId="0">
      <text>
        <r>
          <rPr>
            <sz val="9"/>
            <color indexed="81"/>
            <rFont val="Tahoma"/>
            <family val="2"/>
          </rPr>
          <t>Informar a vida útil estimada, em anos</t>
        </r>
      </text>
    </comment>
    <comment ref="C267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contêiner proposto.</t>
        </r>
      </text>
    </comment>
    <comment ref="C268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contêiner,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0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76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6" authorId="1">
      <text>
        <r>
          <rPr>
            <b/>
            <sz val="8"/>
            <color indexed="81"/>
            <rFont val="Tahoma"/>
            <charset val="1"/>
          </rPr>
          <t>AmbienteII:</t>
        </r>
        <r>
          <rPr>
            <sz val="8"/>
            <color indexed="81"/>
            <rFont val="Tahoma"/>
            <charset val="1"/>
          </rPr>
          <t xml:space="preserve">
Informar o custo unitário de manutenção e higienização dos contêineres</t>
        </r>
      </text>
    </comment>
    <comment ref="C293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3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94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4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95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5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96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96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D297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302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4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306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316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4" author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5" authorId="1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6" authorId="2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1" author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2" author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15" authorId="1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<sst xmlns="http://schemas.openxmlformats.org/spreadsheetml/2006/main" count="763" uniqueCount="385">
  <si>
    <t>Adicional de Insalubridade</t>
  </si>
  <si>
    <t>%</t>
  </si>
  <si>
    <t>Soma</t>
  </si>
  <si>
    <t>Encargos Sociais</t>
  </si>
  <si>
    <t>Total do Efetivo</t>
  </si>
  <si>
    <t>homem</t>
  </si>
  <si>
    <t>mês</t>
  </si>
  <si>
    <t>vale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</si>
  <si>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</si>
  <si>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</si>
  <si>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</si>
  <si>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</si>
  <si>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</si>
  <si>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</si>
  <si>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</si>
  <si>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</si>
  <si>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</si>
  <si>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</si>
  <si>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</si>
  <si>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</si>
  <si>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</si>
  <si>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</si>
  <si>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</si>
  <si>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</si>
  <si>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</si>
  <si>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</si>
  <si>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</si>
  <si>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</si>
  <si>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</si>
  <si>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</si>
  <si>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</si>
  <si>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Benefícios e despesas indiretas</t>
  </si>
  <si>
    <t>Custo mensal com manutenção</t>
  </si>
  <si>
    <t>INSS</t>
  </si>
  <si>
    <t>FGTS</t>
  </si>
  <si>
    <t>3.1.1. Depreciação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</si>
  <si>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</si>
  <si>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</si>
  <si>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</si>
  <si>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</si>
  <si>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</si>
  <si>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</si>
  <si>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Custo mensal com pneus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</si>
  <si>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</si>
  <si>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</si>
  <si>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</si>
  <si>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</si>
  <si>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</si>
  <si>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</si>
  <si>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</si>
  <si>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</si>
  <si>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</si>
  <si>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</si>
  <si>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</si>
  <si>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</si>
  <si>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</si>
  <si>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</si>
  <si>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</si>
  <si>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</si>
  <si>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</si>
  <si>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</si>
  <si>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</si>
  <si>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</si>
  <si>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</si>
  <si>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</si>
  <si>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</si>
  <si>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</si>
  <si>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</si>
  <si>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</si>
  <si>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</si>
  <si>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</si>
  <si>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</si>
  <si>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Vida útil do chassis</t>
  </si>
  <si>
    <t>anos</t>
  </si>
  <si>
    <t>Depreciação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</si>
  <si>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</si>
  <si>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</si>
  <si>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</si>
  <si>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</si>
  <si>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</si>
  <si>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</si>
  <si>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</si>
  <si>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</si>
  <si>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</si>
  <si>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</si>
  <si>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</si>
  <si>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</si>
  <si>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</si>
  <si>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</si>
  <si>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</si>
  <si>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</si>
  <si>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</si>
  <si>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</si>
  <si>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</si>
  <si>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</si>
  <si>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</si>
  <si>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</si>
  <si>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</si>
  <si>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</si>
  <si>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</si>
  <si>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</si>
  <si>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</si>
  <si>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</si>
  <si>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</si>
  <si>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</si>
  <si>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</si>
  <si>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</si>
  <si>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</si>
  <si>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</si>
  <si>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</si>
  <si>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</si>
  <si>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</si>
  <si>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</si>
  <si>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</si>
  <si>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</si>
  <si>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</si>
  <si>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</si>
  <si>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</si>
  <si>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</si>
  <si>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</si>
  <si>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</si>
  <si>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</si>
  <si>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</si>
  <si>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</si>
  <si>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</si>
  <si>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</si>
  <si>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</si>
  <si>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</si>
  <si>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</si>
  <si>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</si>
  <si>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</si>
  <si>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</si>
  <si>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</si>
  <si>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</si>
  <si>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</si>
  <si>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</si>
  <si>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</si>
  <si>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</si>
  <si>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</si>
  <si>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</si>
  <si>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</si>
  <si>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</si>
  <si>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</si>
  <si>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</si>
  <si>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</si>
  <si>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</si>
  <si>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</si>
  <si>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</si>
  <si>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</si>
  <si>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</si>
  <si>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</si>
  <si>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</si>
  <si>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</si>
  <si>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</si>
  <si>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</si>
  <si>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</si>
  <si>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</si>
  <si>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Higienização de uniformes e EPIs</t>
  </si>
  <si>
    <t>Custo Mensal com Uniformes e EPIs (R$/mês)</t>
  </si>
  <si>
    <t>Rio Grande do Sul  - Coleta de Resíduos Não-Perigosos - CNAE 38114</t>
  </si>
  <si>
    <t>Idade do veículo</t>
  </si>
  <si>
    <t>Valor do veículo proposto (V0)</t>
  </si>
  <si>
    <t>Taxa de juros anual nominal</t>
  </si>
  <si>
    <t>Base de cálculo da Insalubridade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</si>
  <si>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</si>
  <si>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</si>
  <si>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</si>
  <si>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</si>
  <si>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</si>
  <si>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</si>
  <si>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</si>
  <si>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</si>
  <si>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</si>
  <si>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</si>
  <si>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</si>
  <si>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</si>
  <si>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</si>
  <si>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t>6. Remuneração de Capital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</si>
  <si>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</si>
  <si>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</si>
  <si>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</si>
  <si>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</si>
  <si>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</si>
  <si>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</si>
  <si>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</si>
  <si>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</si>
  <si>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</si>
  <si>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</si>
  <si>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</si>
  <si>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Total por Motorista</t>
  </si>
  <si>
    <t>Custo com consumos/km rodado</t>
  </si>
  <si>
    <t>Total por veículo</t>
  </si>
  <si>
    <t>Total da frota</t>
  </si>
  <si>
    <t>Unid</t>
  </si>
  <si>
    <t>hab</t>
  </si>
  <si>
    <t>ton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</si>
  <si>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</si>
  <si>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</si>
  <si>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</si>
  <si>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</si>
  <si>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</si>
  <si>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</si>
  <si>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</si>
  <si>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</si>
  <si>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</si>
  <si>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</si>
  <si>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</si>
  <si>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</si>
  <si>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</si>
  <si>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</si>
  <si>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7. Dimensionamento da frota</t>
  </si>
  <si>
    <t>Indicador</t>
  </si>
  <si>
    <t>Número total de percursos de coleta por veículo, por dia (Np)</t>
  </si>
  <si>
    <t>i</t>
  </si>
  <si>
    <t>Depreciação Média</t>
  </si>
  <si>
    <t>Reincidência de FGTS sobre aviso prévio indenizado</t>
  </si>
  <si>
    <t>Piso da categoria (2)</t>
  </si>
  <si>
    <t>Salário mínimo nacional (1)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</si>
  <si>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</si>
  <si>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</si>
  <si>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</si>
  <si>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</si>
  <si>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</si>
  <si>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</si>
  <si>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t>8- SETORES COLETA</t>
  </si>
  <si>
    <t>SETOR</t>
  </si>
  <si>
    <t>BAIRRO</t>
  </si>
  <si>
    <t>FREQUÊNCIA</t>
  </si>
  <si>
    <t>DIA DA SEMANA</t>
  </si>
  <si>
    <t>COR / TIPO RESÍDUOS</t>
  </si>
  <si>
    <t>DISTÂNCIA GARAGEM / SETOR (KM)</t>
  </si>
  <si>
    <t>DISTÂNCIA SETOR / USINA (KM)</t>
  </si>
  <si>
    <t>EXTENSÃO TOTAL ROTEIRO COLETA (KM)</t>
  </si>
  <si>
    <t>VELOCIDADE MÉDIA COLETA (KM/H)</t>
  </si>
  <si>
    <t>VELOCIDADE MÉDIA FORA PERCURSO COLETA (KM/H)</t>
  </si>
  <si>
    <t>Nº COLETAS / MÊS</t>
  </si>
  <si>
    <t>KM ADICIONAL DESCARGA CAMINHÃO</t>
  </si>
  <si>
    <t>TOTAL PERCURSO MÊS (KM)</t>
  </si>
  <si>
    <t>Centro (Av. Emílio Schmitt, Av. Borges de Medeiros e Av. Getúlio Vargas)</t>
  </si>
  <si>
    <t>3 vezes/semana</t>
  </si>
  <si>
    <t>Segunda-feira; Quarta-feira; Sexta-feira</t>
  </si>
  <si>
    <t>Cinza / Orgânico e Rejeitos</t>
  </si>
  <si>
    <t>Terça-feira; Quinta-feira; Sábado</t>
  </si>
  <si>
    <t>Verde / Recicláveis</t>
  </si>
  <si>
    <t>Centro</t>
  </si>
  <si>
    <t>2 vezes/semana</t>
  </si>
  <si>
    <t>Segunda-feira; Sexta-feira</t>
  </si>
  <si>
    <t>Semanal</t>
  </si>
  <si>
    <t>Quarta-feira</t>
  </si>
  <si>
    <t>Contestado</t>
  </si>
  <si>
    <t>Picadilly</t>
  </si>
  <si>
    <t>Loteamento Benedetto</t>
  </si>
  <si>
    <t>Terça-feira</t>
  </si>
  <si>
    <t>Sábado</t>
  </si>
  <si>
    <t>Farias / Morada do Sol</t>
  </si>
  <si>
    <t>Terça-feira; Sábado</t>
  </si>
  <si>
    <t>Quinta-feira</t>
  </si>
  <si>
    <t>Rio Branco</t>
  </si>
  <si>
    <t>Rio Branco / ERS-239</t>
  </si>
  <si>
    <t>Grassmann</t>
  </si>
  <si>
    <t>Loteamento Tadiotto</t>
  </si>
  <si>
    <t>Santo Antônio</t>
  </si>
  <si>
    <t>Areia</t>
  </si>
  <si>
    <t>Verde / Recicláveis; Cinza / Orgânico e Rejeitos</t>
  </si>
  <si>
    <t>Boa Esperança / Morro Grande</t>
  </si>
  <si>
    <t>Quinzenal</t>
  </si>
  <si>
    <t>1ª e 3ª terça-feira/mês</t>
  </si>
  <si>
    <t>Rolantinho / Alto Rolantinho</t>
  </si>
  <si>
    <t>Segunda-feira</t>
  </si>
  <si>
    <t>Rota do Sol (São Paulo / Morro da Figueira)</t>
  </si>
  <si>
    <t>Rota do Sol (Morro da Figueira / Fazenda Fleck)</t>
  </si>
  <si>
    <t>Alto Rolantinho/Morro da Rapadura/Canta Galo/Caconde/Sertão Canta Galo</t>
  </si>
  <si>
    <t>Mensal</t>
  </si>
  <si>
    <t>Linha Reichert / Linha Petry / Mascarada / Alto Rolante</t>
  </si>
  <si>
    <t>Alto Rolante / Canta Galo / Barrinha</t>
  </si>
  <si>
    <t>3ª quarta-feira/mês</t>
  </si>
  <si>
    <t>Glória / Ilha Nova</t>
  </si>
  <si>
    <t>Açoita Cavalo / Campinas / Linha Mergener</t>
  </si>
  <si>
    <t>Fazenda Passos / km 17 / ERS-239</t>
  </si>
  <si>
    <t>TOTAL GERAL (KM/MÊS)</t>
  </si>
  <si>
    <t>Capacidade do caminhão</t>
  </si>
  <si>
    <r>
      <t>J</t>
    </r>
    <r>
      <rPr>
        <vertAlign val="subscript"/>
        <sz val="8"/>
        <color indexed="8"/>
        <rFont val="Arial"/>
        <family val="2"/>
      </rPr>
      <t>m</t>
    </r>
    <r>
      <rPr>
        <sz val="8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</si>
  <si>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8"/>
        <color indexed="8"/>
        <rFont val="Arial"/>
        <family val="2"/>
      </rPr>
      <t>0</t>
    </r>
    <r>
      <rPr>
        <sz val="8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</si>
  <si>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8"/>
        <color indexed="8"/>
        <rFont val="Arial"/>
        <family val="2"/>
      </rPr>
      <t>r</t>
    </r>
    <r>
      <rPr>
        <sz val="8"/>
        <color indexed="8"/>
        <rFont val="Arial"/>
        <family val="2"/>
      </rPr>
      <t xml:space="preserve"> = valor residual do bem</t>
    </r>
  </si>
  <si>
    <t>Estado do Rio Grande do Sul</t>
  </si>
  <si>
    <t>PREFEITURA MUNICIPAL DE ROLANTE</t>
  </si>
  <si>
    <t>"Capital Nacional da Cuca"</t>
  </si>
  <si>
    <t>Av. Getúlio Vargas, 110 - Centro - Rolante/RS</t>
  </si>
  <si>
    <t>Fone: (51)3547-1188 - Fax: (51)3547-1064</t>
  </si>
  <si>
    <t>Site: www.rolante.rs.gov.br</t>
  </si>
  <si>
    <t>ORÇAMENTO SINTÉTICO</t>
  </si>
  <si>
    <t>DESCRIÇÃO DO ITEM</t>
  </si>
  <si>
    <t>CUSTO (R$/MÊS)</t>
  </si>
  <si>
    <t>QUANTITATIVOS</t>
  </si>
  <si>
    <t>MÃO-DE-OBRA</t>
  </si>
  <si>
    <t>QUANTIDADE</t>
  </si>
  <si>
    <t>VEÍCULOS E EQUIPAMENTOS</t>
  </si>
  <si>
    <t>1. MÃO-DE-OBRA</t>
  </si>
  <si>
    <t>DISCRIMINAÇÃO</t>
  </si>
  <si>
    <t>UNIDADE</t>
  </si>
  <si>
    <t>CUSTO UNITÁRIO</t>
  </si>
  <si>
    <t>SUBTOTAL</t>
  </si>
  <si>
    <t>TOTAL</t>
  </si>
  <si>
    <t>-</t>
  </si>
  <si>
    <t>2. UNIFORMES E EQUIPAMENTOS DE PROTEÇÃO INDIVIDUAL</t>
  </si>
  <si>
    <t>DURABILIDADE (MESES)</t>
  </si>
  <si>
    <t>3. VEÍCULOS E EQUIPAMENTOS</t>
  </si>
  <si>
    <t>Taxa de juros anual nominal (SELIC)</t>
  </si>
  <si>
    <t>CONSUMO</t>
  </si>
  <si>
    <t>Custo jg. compl. + recap./ km rodado</t>
  </si>
  <si>
    <t>4. FERRAMENTAS E MATERIAIS DE CONSUMO</t>
  </si>
  <si>
    <t>5. MONITORAMENTO DA FROTA</t>
  </si>
  <si>
    <t>6. BENEFÍCIOS E DESPESAS INDIRETAS - BDI</t>
  </si>
  <si>
    <t>LOTE I - COLETA MANUAL E TRANSPORTE DOS RESÍDUOS SÓLIDOS DOMÉSTICOS ATÉ A CENTRAL DE TRIAGEM NA LOCALIDADE GLÓRIA</t>
  </si>
  <si>
    <t>Piso da categoria</t>
  </si>
  <si>
    <t>Vida útil do compactador</t>
  </si>
  <si>
    <t>Idade do compactador</t>
  </si>
  <si>
    <t>Depreciação do compactador</t>
  </si>
  <si>
    <t>Depreciação mensal do compactador</t>
  </si>
  <si>
    <t>Custo do compactador</t>
  </si>
  <si>
    <t>Valor do compactador proposto (V0)</t>
  </si>
  <si>
    <t>Investimento médio total do compactador</t>
  </si>
  <si>
    <t>Remuneração mensal de capital do compactador</t>
  </si>
  <si>
    <t>Densidade RSD com compactação</t>
  </si>
  <si>
    <t>1ª e 3ª segunda-feira/mês</t>
  </si>
  <si>
    <t>2ª e 4ª segunda-feira/mês</t>
  </si>
  <si>
    <t>2ª quarta-feira/mês</t>
  </si>
  <si>
    <t>1ª e 3º quinta-feira/mês</t>
  </si>
  <si>
    <t>2ª e 4ª terça-feira/mês</t>
  </si>
  <si>
    <t>Custo de aquisição do chassis</t>
  </si>
  <si>
    <t>Custo de aquisição do compactador</t>
  </si>
  <si>
    <t>Fator de utilização (FU) Turno Integral</t>
  </si>
  <si>
    <t>Fator de utilização (FU) Turno Parcial</t>
  </si>
  <si>
    <t>Coletor Turno Integral Dia</t>
  </si>
  <si>
    <t>Coletor Turno Parcial Dia</t>
  </si>
  <si>
    <t>Motorista Turno Integral Dia</t>
  </si>
  <si>
    <t>Motorista Turno Parcial Dia</t>
  </si>
  <si>
    <t>1.1. Coletor Turno Integral Dia</t>
  </si>
  <si>
    <t>1.2. Coletor Turno Parcial Dia</t>
  </si>
  <si>
    <t>1.3. Motorista Turno Integral Dia</t>
  </si>
  <si>
    <t>1.4. Motorista Turno Parcial Dia</t>
  </si>
  <si>
    <t>1.5. Vale Transporte</t>
  </si>
  <si>
    <t>1.6. Auxílio Alimentação (diário)</t>
  </si>
  <si>
    <t>1.7. Auxílio Refeição (diário)</t>
  </si>
  <si>
    <t>1.8. Auxílio Alimentação (mensal)</t>
  </si>
  <si>
    <t>1.9. Auxílio Lanche (diário)</t>
  </si>
  <si>
    <t>Custo de manutenção e higienização dos contêineres</t>
  </si>
  <si>
    <t>unidade / mês</t>
  </si>
  <si>
    <t>3.2.1. Depreciação</t>
  </si>
  <si>
    <t>Custo de aquisição do contêiner</t>
  </si>
  <si>
    <t>Vida útil do contêiner</t>
  </si>
  <si>
    <t>Idade do contêiner</t>
  </si>
  <si>
    <t>Depreciação do contêiner</t>
  </si>
  <si>
    <t>Depreciação mensal contêiner</t>
  </si>
  <si>
    <t>Total dos contêineres</t>
  </si>
  <si>
    <t>3.2.2. Remuneração do Capital</t>
  </si>
  <si>
    <t>Custo do contêiner</t>
  </si>
  <si>
    <t>Valor do contêiner proposto (V0)</t>
  </si>
  <si>
    <t>Investimento médio total do contêiner</t>
  </si>
  <si>
    <t>Remuneração mensal de capital do contêiner</t>
  </si>
  <si>
    <t>Total por contêiner</t>
  </si>
  <si>
    <t>Idade do veículo ou contêiner (ano)</t>
  </si>
  <si>
    <t>2.1. Uniformes e EPIs para Coletor Turno Integral e Parcial Dia</t>
  </si>
  <si>
    <t>2.2. Uniformes e EPIs para Motorista Turno Integral e Parcial Dia</t>
  </si>
  <si>
    <t>3.2 Custo de aquisição do contêiner</t>
  </si>
  <si>
    <t>3.2.3 Manutenção e Higienização</t>
  </si>
  <si>
    <t>Aquisição e distribuição sacolas plásticas p/ RSU recicláveis - 50 L</t>
  </si>
  <si>
    <r>
      <t>PREGÃO PRESENCIAL Nº 14</t>
    </r>
    <r>
      <rPr>
        <b/>
        <sz val="9"/>
        <color theme="1"/>
        <rFont val="Arial"/>
        <family val="2"/>
      </rPr>
      <t>/2020</t>
    </r>
  </si>
  <si>
    <t>1.10. Plano Benefício Social Familiar</t>
  </si>
  <si>
    <t>ANEXO 3 - MODELO DE PROPOSTA COMECIAL E PLANILHA DE COMPOSIÇÃO DE QUANTITATIVOS E CUSTOS UNITÁRIOS</t>
  </si>
  <si>
    <t>EMPRESA:</t>
  </si>
  <si>
    <t>CNPJ:</t>
  </si>
  <si>
    <t>CONTATO:</t>
  </si>
  <si>
    <t>Custo de manutenção dos caminhões</t>
  </si>
  <si>
    <t>Custo do jogo de pneus XXX/XX RXX,X"</t>
  </si>
  <si>
    <t>3.1. Veículo ______________________ m³</t>
  </si>
  <si>
    <t>CÁLCULO DAS VERBAS INDENIZATÓRIAS DOS EMPREGADOS NO SETOR DE COLETA DE RSU</t>
  </si>
  <si>
    <t>Para preencher esta planilha siga os passos 1 a 5:</t>
  </si>
  <si>
    <t xml:space="preserve">1. Acesse o Portal do CAGED no link http://bi.mte.gov.br/cagedestabelecimento/pages/consulta.xhtml </t>
  </si>
  <si>
    <t>2. Na Especificação da Consulta, selecione "Demonstrativo por período" e informe as competências relativas ao período Inicial e Final (últimos 12 meses)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</si>
  <si>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</si>
  <si>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</si>
  <si>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</si>
  <si>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6. Preencha as células em amarelo</t>
  </si>
  <si>
    <t>(planilhas 1 a 8)</t>
  </si>
</sst>
</file>

<file path=xl/styles.xml><?xml version="1.0" encoding="utf-8"?>
<styleSheet xmlns="http://schemas.openxmlformats.org/spreadsheetml/2006/main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  <numFmt numFmtId="173" formatCode="_-&quot;R$&quot;\ * #,##0.000_-;\-&quot;R$&quot;\ * #,##0.000_-;_-&quot;R$&quot;\ * &quot;-&quot;??_-;_-@_-"/>
    <numFmt numFmtId="174" formatCode="#,##0_ ;\-#,##0\ 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8"/>
      <color indexed="12"/>
      <name val="Arial"/>
      <family val="2"/>
    </font>
    <font>
      <sz val="8"/>
      <color indexed="10"/>
      <name val="Arial"/>
      <family val="2"/>
    </font>
    <font>
      <b/>
      <sz val="9"/>
      <color theme="1"/>
      <name val="Arial"/>
      <family val="2"/>
    </font>
    <font>
      <sz val="10"/>
      <name val="Times New Roman"/>
      <family val="1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0" fontId="14" fillId="0" borderId="0" xfId="4" applyFont="1"/>
    <xf numFmtId="0" fontId="13" fillId="0" borderId="15" xfId="4" applyFont="1" applyBorder="1" applyAlignment="1">
      <alignment horizontal="center" vertical="center" wrapText="1"/>
    </xf>
    <xf numFmtId="0" fontId="13" fillId="0" borderId="16" xfId="4" applyFont="1" applyBorder="1" applyAlignment="1">
      <alignment horizontal="center" vertical="center" wrapText="1"/>
    </xf>
    <xf numFmtId="0" fontId="13" fillId="0" borderId="33" xfId="4" applyFont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/>
    </xf>
    <xf numFmtId="0" fontId="14" fillId="0" borderId="2" xfId="4" applyFont="1" applyFill="1" applyBorder="1"/>
    <xf numFmtId="0" fontId="14" fillId="0" borderId="2" xfId="4" applyFont="1" applyBorder="1" applyAlignment="1">
      <alignment horizontal="center"/>
    </xf>
    <xf numFmtId="2" fontId="14" fillId="0" borderId="2" xfId="4" applyNumberFormat="1" applyFont="1" applyBorder="1" applyAlignment="1">
      <alignment horizontal="center"/>
    </xf>
    <xf numFmtId="2" fontId="14" fillId="0" borderId="51" xfId="4" applyNumberFormat="1" applyFont="1" applyBorder="1" applyAlignment="1">
      <alignment horizontal="center"/>
    </xf>
    <xf numFmtId="0" fontId="14" fillId="0" borderId="21" xfId="4" applyFont="1" applyBorder="1" applyAlignment="1">
      <alignment horizontal="center"/>
    </xf>
    <xf numFmtId="2" fontId="14" fillId="0" borderId="21" xfId="4" applyNumberFormat="1" applyFont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0" borderId="1" xfId="4" applyFont="1" applyBorder="1" applyAlignment="1">
      <alignment horizontal="center"/>
    </xf>
    <xf numFmtId="2" fontId="14" fillId="0" borderId="1" xfId="4" applyNumberFormat="1" applyFont="1" applyBorder="1" applyAlignment="1">
      <alignment horizontal="center"/>
    </xf>
    <xf numFmtId="0" fontId="14" fillId="0" borderId="1" xfId="4" applyFont="1" applyFill="1" applyBorder="1"/>
    <xf numFmtId="2" fontId="14" fillId="0" borderId="8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2" fontId="3" fillId="0" borderId="8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2" fontId="14" fillId="0" borderId="1" xfId="4" applyNumberFormat="1" applyFont="1" applyFill="1" applyBorder="1" applyAlignment="1">
      <alignment horizontal="center"/>
    </xf>
    <xf numFmtId="2" fontId="14" fillId="0" borderId="2" xfId="4" applyNumberFormat="1" applyFont="1" applyFill="1" applyBorder="1" applyAlignment="1">
      <alignment horizontal="center"/>
    </xf>
    <xf numFmtId="0" fontId="14" fillId="0" borderId="3" xfId="4" applyFont="1" applyFill="1" applyBorder="1" applyAlignment="1">
      <alignment horizontal="center"/>
    </xf>
    <xf numFmtId="0" fontId="14" fillId="0" borderId="3" xfId="4" applyFont="1" applyFill="1" applyBorder="1"/>
    <xf numFmtId="0" fontId="14" fillId="0" borderId="3" xfId="4" applyFont="1" applyBorder="1" applyAlignment="1">
      <alignment horizontal="center"/>
    </xf>
    <xf numFmtId="2" fontId="14" fillId="0" borderId="3" xfId="4" applyNumberFormat="1" applyFont="1" applyBorder="1" applyAlignment="1">
      <alignment horizontal="center"/>
    </xf>
    <xf numFmtId="2" fontId="14" fillId="0" borderId="52" xfId="4" applyNumberFormat="1" applyFont="1" applyFill="1" applyBorder="1" applyAlignment="1">
      <alignment horizontal="center"/>
    </xf>
    <xf numFmtId="2" fontId="14" fillId="0" borderId="53" xfId="4" applyNumberFormat="1" applyFont="1" applyBorder="1" applyAlignment="1">
      <alignment horizontal="center"/>
    </xf>
    <xf numFmtId="0" fontId="13" fillId="0" borderId="8" xfId="4" applyFont="1" applyBorder="1"/>
    <xf numFmtId="0" fontId="14" fillId="0" borderId="9" xfId="4" applyFont="1" applyBorder="1"/>
    <xf numFmtId="0" fontId="14" fillId="0" borderId="9" xfId="4" applyFont="1" applyBorder="1" applyAlignment="1">
      <alignment horizontal="center"/>
    </xf>
    <xf numFmtId="2" fontId="13" fillId="0" borderId="4" xfId="4" applyNumberFormat="1" applyFont="1" applyBorder="1" applyAlignment="1">
      <alignment horizontal="center"/>
    </xf>
    <xf numFmtId="0" fontId="14" fillId="0" borderId="0" xfId="4" applyFont="1" applyAlignment="1">
      <alignment horizontal="center"/>
    </xf>
    <xf numFmtId="0" fontId="16" fillId="0" borderId="0" xfId="0" applyFont="1" applyAlignment="1">
      <alignment vertical="center"/>
    </xf>
    <xf numFmtId="0" fontId="3" fillId="0" borderId="0" xfId="0" applyFont="1"/>
    <xf numFmtId="165" fontId="3" fillId="0" borderId="0" xfId="3" applyFont="1" applyAlignment="1">
      <alignment vertical="center"/>
    </xf>
    <xf numFmtId="0" fontId="16" fillId="0" borderId="2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3" fillId="0" borderId="0" xfId="0" applyFont="1" applyFill="1"/>
    <xf numFmtId="0" fontId="16" fillId="0" borderId="22" xfId="0" applyFont="1" applyBorder="1"/>
    <xf numFmtId="0" fontId="16" fillId="0" borderId="1" xfId="0" applyFont="1" applyBorder="1"/>
    <xf numFmtId="0" fontId="16" fillId="0" borderId="19" xfId="0" applyFont="1" applyBorder="1"/>
    <xf numFmtId="0" fontId="16" fillId="0" borderId="0" xfId="0" applyFont="1"/>
    <xf numFmtId="0" fontId="3" fillId="0" borderId="22" xfId="0" applyFont="1" applyFill="1" applyBorder="1"/>
    <xf numFmtId="0" fontId="3" fillId="0" borderId="1" xfId="0" applyFont="1" applyFill="1" applyBorder="1"/>
    <xf numFmtId="0" fontId="3" fillId="0" borderId="22" xfId="0" applyFont="1" applyBorder="1"/>
    <xf numFmtId="0" fontId="3" fillId="0" borderId="1" xfId="0" applyFont="1" applyBorder="1"/>
    <xf numFmtId="0" fontId="3" fillId="0" borderId="19" xfId="0" applyFont="1" applyBorder="1"/>
    <xf numFmtId="0" fontId="3" fillId="0" borderId="23" xfId="0" applyFont="1" applyFill="1" applyBorder="1"/>
    <xf numFmtId="0" fontId="3" fillId="0" borderId="35" xfId="0" applyFont="1" applyBorder="1"/>
    <xf numFmtId="0" fontId="3" fillId="0" borderId="19" xfId="0" applyFont="1" applyFill="1" applyBorder="1"/>
    <xf numFmtId="170" fontId="14" fillId="0" borderId="19" xfId="3" applyNumberFormat="1" applyFont="1" applyFill="1" applyBorder="1" applyAlignment="1">
      <alignment horizontal="center" vertical="center" wrapText="1"/>
    </xf>
    <xf numFmtId="171" fontId="3" fillId="0" borderId="19" xfId="0" applyNumberFormat="1" applyFont="1" applyFill="1" applyBorder="1"/>
    <xf numFmtId="2" fontId="3" fillId="0" borderId="19" xfId="0" applyNumberFormat="1" applyFont="1" applyFill="1" applyBorder="1"/>
    <xf numFmtId="172" fontId="3" fillId="0" borderId="19" xfId="0" applyNumberFormat="1" applyFont="1" applyFill="1" applyBorder="1"/>
    <xf numFmtId="171" fontId="3" fillId="0" borderId="36" xfId="0" applyNumberFormat="1" applyFont="1" applyFill="1" applyBorder="1"/>
    <xf numFmtId="0" fontId="3" fillId="0" borderId="47" xfId="0" applyFont="1" applyBorder="1"/>
    <xf numFmtId="0" fontId="14" fillId="0" borderId="47" xfId="0" applyFont="1" applyBorder="1" applyAlignment="1">
      <alignment horizontal="justify"/>
    </xf>
    <xf numFmtId="0" fontId="14" fillId="0" borderId="48" xfId="0" applyFont="1" applyBorder="1" applyAlignment="1">
      <alignment horizontal="justify"/>
    </xf>
    <xf numFmtId="0" fontId="16" fillId="6" borderId="54" xfId="0" applyFont="1" applyFill="1" applyBorder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2" fontId="20" fillId="5" borderId="1" xfId="0" applyNumberFormat="1" applyFont="1" applyFill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2" fontId="20" fillId="5" borderId="35" xfId="0" applyNumberFormat="1" applyFont="1" applyFill="1" applyBorder="1" applyAlignment="1">
      <alignment horizontal="right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37" xfId="0" applyFont="1" applyBorder="1"/>
    <xf numFmtId="0" fontId="3" fillId="0" borderId="0" xfId="0" applyFont="1" applyBorder="1"/>
    <xf numFmtId="9" fontId="3" fillId="0" borderId="22" xfId="2" applyFont="1" applyBorder="1"/>
    <xf numFmtId="9" fontId="3" fillId="0" borderId="1" xfId="2" applyFont="1" applyBorder="1" applyAlignment="1">
      <alignment horizontal="center"/>
    </xf>
    <xf numFmtId="9" fontId="3" fillId="0" borderId="19" xfId="2" applyFont="1" applyBorder="1"/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10" fontId="3" fillId="0" borderId="22" xfId="2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9" xfId="2" applyNumberFormat="1" applyFont="1" applyBorder="1" applyAlignment="1">
      <alignment horizontal="right"/>
    </xf>
    <xf numFmtId="0" fontId="3" fillId="0" borderId="2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9" xfId="0" applyNumberFormat="1" applyFont="1" applyFill="1" applyBorder="1" applyAlignment="1">
      <alignment horizontal="center" vertical="center"/>
    </xf>
    <xf numFmtId="10" fontId="3" fillId="0" borderId="19" xfId="2" applyNumberFormat="1" applyFont="1" applyBorder="1"/>
    <xf numFmtId="0" fontId="3" fillId="0" borderId="22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0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10" fontId="16" fillId="4" borderId="7" xfId="0" applyNumberFormat="1" applyFont="1" applyFill="1" applyBorder="1" applyAlignment="1">
      <alignment horizontal="center" vertical="center" wrapText="1"/>
    </xf>
    <xf numFmtId="10" fontId="3" fillId="0" borderId="23" xfId="2" applyNumberFormat="1" applyFont="1" applyBorder="1" applyAlignment="1">
      <alignment horizontal="right"/>
    </xf>
    <xf numFmtId="10" fontId="3" fillId="0" borderId="35" xfId="2" applyNumberFormat="1" applyFont="1" applyBorder="1" applyAlignment="1">
      <alignment horizontal="right"/>
    </xf>
    <xf numFmtId="10" fontId="3" fillId="0" borderId="36" xfId="2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0" fontId="3" fillId="0" borderId="11" xfId="0" applyNumberFormat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3" fillId="0" borderId="13" xfId="0" applyFont="1" applyBorder="1"/>
    <xf numFmtId="0" fontId="3" fillId="0" borderId="14" xfId="0" applyFont="1" applyBorder="1"/>
    <xf numFmtId="0" fontId="13" fillId="0" borderId="43" xfId="0" applyFont="1" applyBorder="1"/>
    <xf numFmtId="0" fontId="13" fillId="0" borderId="22" xfId="0" applyFont="1" applyBorder="1"/>
    <xf numFmtId="0" fontId="3" fillId="0" borderId="43" xfId="0" applyFont="1" applyBorder="1"/>
    <xf numFmtId="0" fontId="3" fillId="0" borderId="50" xfId="0" applyFont="1" applyBorder="1"/>
    <xf numFmtId="0" fontId="3" fillId="0" borderId="45" xfId="0" applyFont="1" applyBorder="1"/>
    <xf numFmtId="0" fontId="3" fillId="0" borderId="38" xfId="0" applyFont="1" applyBorder="1"/>
    <xf numFmtId="0" fontId="16" fillId="0" borderId="44" xfId="0" applyFont="1" applyBorder="1"/>
    <xf numFmtId="10" fontId="13" fillId="0" borderId="19" xfId="2" applyNumberFormat="1" applyFont="1" applyBorder="1"/>
    <xf numFmtId="169" fontId="16" fillId="0" borderId="19" xfId="0" applyNumberFormat="1" applyFont="1" applyBorder="1"/>
    <xf numFmtId="0" fontId="13" fillId="0" borderId="19" xfId="0" applyFont="1" applyBorder="1"/>
    <xf numFmtId="0" fontId="13" fillId="0" borderId="44" xfId="0" applyFont="1" applyBorder="1"/>
    <xf numFmtId="9" fontId="13" fillId="0" borderId="19" xfId="2" applyFont="1" applyBorder="1"/>
    <xf numFmtId="0" fontId="13" fillId="0" borderId="27" xfId="0" applyFont="1" applyBorder="1"/>
    <xf numFmtId="9" fontId="16" fillId="0" borderId="30" xfId="2" applyFont="1" applyBorder="1"/>
    <xf numFmtId="0" fontId="3" fillId="0" borderId="14" xfId="0" applyFont="1" applyFill="1" applyBorder="1"/>
    <xf numFmtId="0" fontId="16" fillId="0" borderId="0" xfId="0" applyFont="1" applyFill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10" fontId="20" fillId="0" borderId="19" xfId="0" applyNumberFormat="1" applyFont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0" fontId="19" fillId="0" borderId="19" xfId="0" applyNumberFormat="1" applyFont="1" applyBorder="1" applyAlignment="1">
      <alignment horizontal="right" vertical="center"/>
    </xf>
    <xf numFmtId="0" fontId="20" fillId="4" borderId="22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10" fontId="19" fillId="4" borderId="19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10" fontId="3" fillId="0" borderId="0" xfId="0" applyNumberFormat="1" applyFont="1"/>
    <xf numFmtId="9" fontId="20" fillId="0" borderId="0" xfId="2" applyFont="1" applyBorder="1" applyAlignment="1">
      <alignment horizontal="right" vertical="center"/>
    </xf>
    <xf numFmtId="10" fontId="3" fillId="0" borderId="0" xfId="0" applyNumberFormat="1" applyFont="1" applyBorder="1"/>
    <xf numFmtId="0" fontId="20" fillId="0" borderId="1" xfId="0" applyFont="1" applyBorder="1" applyAlignment="1">
      <alignment horizontal="left" vertical="center" wrapText="1"/>
    </xf>
    <xf numFmtId="0" fontId="20" fillId="7" borderId="23" xfId="0" applyFont="1" applyFill="1" applyBorder="1" applyAlignment="1">
      <alignment horizontal="left" vertical="center"/>
    </xf>
    <xf numFmtId="0" fontId="19" fillId="7" borderId="35" xfId="0" applyFont="1" applyFill="1" applyBorder="1" applyAlignment="1">
      <alignment horizontal="left" vertical="center"/>
    </xf>
    <xf numFmtId="10" fontId="19" fillId="7" borderId="36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20" fillId="3" borderId="0" xfId="0" applyFont="1" applyFill="1" applyBorder="1" applyAlignment="1">
      <alignment horizontal="left" vertical="center"/>
    </xf>
    <xf numFmtId="10" fontId="20" fillId="0" borderId="0" xfId="0" applyNumberFormat="1" applyFont="1" applyFill="1" applyBorder="1" applyAlignment="1">
      <alignment horizontal="right" vertical="center"/>
    </xf>
    <xf numFmtId="10" fontId="20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justify" vertical="center"/>
    </xf>
    <xf numFmtId="0" fontId="21" fillId="0" borderId="0" xfId="1" applyFont="1" applyBorder="1" applyAlignment="1" applyProtection="1">
      <alignment horizontal="left" vertical="center"/>
    </xf>
    <xf numFmtId="0" fontId="14" fillId="0" borderId="0" xfId="0" applyFont="1" applyBorder="1"/>
    <xf numFmtId="0" fontId="20" fillId="0" borderId="0" xfId="0" applyFont="1" applyBorder="1" applyAlignment="1">
      <alignment horizontal="right" vertical="center"/>
    </xf>
    <xf numFmtId="0" fontId="21" fillId="0" borderId="0" xfId="1" applyFont="1" applyBorder="1" applyAlignment="1" applyProtection="1">
      <alignment vertical="center"/>
    </xf>
    <xf numFmtId="0" fontId="3" fillId="0" borderId="37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165" fontId="3" fillId="0" borderId="38" xfId="3" applyFont="1" applyFill="1" applyBorder="1" applyAlignment="1">
      <alignment vertical="center"/>
    </xf>
    <xf numFmtId="165" fontId="16" fillId="0" borderId="18" xfId="3" applyFont="1" applyBorder="1" applyAlignment="1">
      <alignment horizontal="center" vertical="center"/>
    </xf>
    <xf numFmtId="165" fontId="3" fillId="0" borderId="10" xfId="3" applyFont="1" applyBorder="1" applyAlignment="1">
      <alignment vertical="center"/>
    </xf>
    <xf numFmtId="165" fontId="16" fillId="0" borderId="10" xfId="3" applyFont="1" applyBorder="1" applyAlignment="1">
      <alignment vertical="center"/>
    </xf>
    <xf numFmtId="165" fontId="16" fillId="0" borderId="34" xfId="3" applyFont="1" applyBorder="1" applyAlignment="1">
      <alignment vertical="center"/>
    </xf>
    <xf numFmtId="165" fontId="16" fillId="0" borderId="11" xfId="3" applyFont="1" applyBorder="1" applyAlignment="1">
      <alignment horizontal="center" vertical="center"/>
    </xf>
    <xf numFmtId="165" fontId="16" fillId="0" borderId="9" xfId="3" applyFont="1" applyBorder="1" applyAlignment="1">
      <alignment vertical="center"/>
    </xf>
    <xf numFmtId="168" fontId="16" fillId="0" borderId="1" xfId="0" applyNumberFormat="1" applyFont="1" applyBorder="1" applyAlignment="1">
      <alignment vertical="center"/>
    </xf>
    <xf numFmtId="10" fontId="16" fillId="0" borderId="14" xfId="2" applyNumberFormat="1" applyFont="1" applyBorder="1" applyAlignment="1">
      <alignment vertical="center"/>
    </xf>
    <xf numFmtId="165" fontId="16" fillId="0" borderId="0" xfId="3" applyFont="1" applyAlignment="1">
      <alignment vertical="center"/>
    </xf>
    <xf numFmtId="165" fontId="3" fillId="0" borderId="9" xfId="3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  <xf numFmtId="10" fontId="3" fillId="0" borderId="14" xfId="2" applyNumberFormat="1" applyFont="1" applyBorder="1" applyAlignment="1">
      <alignment vertical="center"/>
    </xf>
    <xf numFmtId="168" fontId="16" fillId="0" borderId="35" xfId="0" applyNumberFormat="1" applyFont="1" applyBorder="1" applyAlignment="1">
      <alignment vertical="center"/>
    </xf>
    <xf numFmtId="165" fontId="16" fillId="0" borderId="5" xfId="3" applyFont="1" applyBorder="1" applyAlignment="1">
      <alignment horizontal="left" vertical="center"/>
    </xf>
    <xf numFmtId="4" fontId="16" fillId="0" borderId="6" xfId="0" applyNumberFormat="1" applyFont="1" applyBorder="1" applyAlignment="1">
      <alignment horizontal="centerContinuous" vertical="center"/>
    </xf>
    <xf numFmtId="165" fontId="16" fillId="0" borderId="6" xfId="3" applyFont="1" applyBorder="1" applyAlignment="1">
      <alignment vertical="center"/>
    </xf>
    <xf numFmtId="164" fontId="16" fillId="0" borderId="33" xfId="0" applyNumberFormat="1" applyFont="1" applyBorder="1" applyAlignment="1">
      <alignment vertical="center"/>
    </xf>
    <xf numFmtId="9" fontId="16" fillId="0" borderId="17" xfId="2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11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" fontId="3" fillId="0" borderId="19" xfId="3" applyNumberFormat="1" applyFont="1" applyBorder="1" applyAlignment="1">
      <alignment horizontal="center" vertical="center"/>
    </xf>
    <xf numFmtId="165" fontId="16" fillId="0" borderId="27" xfId="3" applyFont="1" applyBorder="1" applyAlignment="1">
      <alignment vertical="center"/>
    </xf>
    <xf numFmtId="4" fontId="16" fillId="0" borderId="28" xfId="0" applyNumberFormat="1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" fontId="16" fillId="0" borderId="30" xfId="3" applyNumberFormat="1" applyFont="1" applyBorder="1" applyAlignment="1">
      <alignment horizontal="center" vertical="center"/>
    </xf>
    <xf numFmtId="165" fontId="16" fillId="0" borderId="37" xfId="3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3" fillId="0" borderId="0" xfId="3" applyFont="1" applyBorder="1" applyAlignment="1">
      <alignment vertical="center"/>
    </xf>
    <xf numFmtId="165" fontId="3" fillId="0" borderId="38" xfId="3" applyFont="1" applyBorder="1" applyAlignment="1">
      <alignment vertical="center"/>
    </xf>
    <xf numFmtId="165" fontId="3" fillId="0" borderId="40" xfId="3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1" fontId="3" fillId="0" borderId="36" xfId="3" applyNumberFormat="1" applyFont="1" applyBorder="1" applyAlignment="1">
      <alignment horizontal="center" vertical="center"/>
    </xf>
    <xf numFmtId="1" fontId="3" fillId="0" borderId="0" xfId="3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165" fontId="16" fillId="0" borderId="5" xfId="3" applyFont="1" applyBorder="1" applyAlignment="1">
      <alignment vertical="center"/>
    </xf>
    <xf numFmtId="165" fontId="16" fillId="0" borderId="0" xfId="3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6" fontId="16" fillId="0" borderId="0" xfId="3" applyNumberFormat="1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165" fontId="16" fillId="2" borderId="16" xfId="3" applyFont="1" applyFill="1" applyBorder="1" applyAlignment="1">
      <alignment horizontal="center" vertical="center"/>
    </xf>
    <xf numFmtId="165" fontId="16" fillId="2" borderId="17" xfId="3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3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3" fillId="0" borderId="1" xfId="3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165" fontId="16" fillId="0" borderId="0" xfId="3" applyFont="1" applyAlignment="1">
      <alignment horizontal="center" vertical="center"/>
    </xf>
    <xf numFmtId="165" fontId="16" fillId="0" borderId="3" xfId="3" applyFont="1" applyBorder="1" applyAlignment="1">
      <alignment horizontal="center" vertical="center"/>
    </xf>
    <xf numFmtId="165" fontId="3" fillId="0" borderId="0" xfId="3" applyFont="1" applyAlignment="1">
      <alignment horizontal="right" vertical="center"/>
    </xf>
    <xf numFmtId="165" fontId="3" fillId="0" borderId="1" xfId="3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16" fillId="0" borderId="9" xfId="3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vertical="center"/>
    </xf>
    <xf numFmtId="165" fontId="16" fillId="2" borderId="4" xfId="3" applyFont="1" applyFill="1" applyBorder="1" applyAlignment="1">
      <alignment vertical="center"/>
    </xf>
    <xf numFmtId="165" fontId="16" fillId="0" borderId="0" xfId="3" applyFont="1" applyFill="1" applyBorder="1" applyAlignment="1">
      <alignment vertical="center"/>
    </xf>
    <xf numFmtId="166" fontId="3" fillId="0" borderId="1" xfId="3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165" fontId="16" fillId="0" borderId="7" xfId="3" applyFont="1" applyBorder="1" applyAlignment="1">
      <alignment vertical="center"/>
    </xf>
    <xf numFmtId="0" fontId="16" fillId="2" borderId="16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165" fontId="16" fillId="2" borderId="4" xfId="3" applyFont="1" applyFill="1" applyBorder="1" applyAlignment="1">
      <alignment horizontal="center" vertical="center"/>
    </xf>
    <xf numFmtId="0" fontId="21" fillId="0" borderId="0" xfId="1" applyFont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165" fontId="3" fillId="0" borderId="0" xfId="3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16" fillId="0" borderId="4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65" fontId="16" fillId="2" borderId="32" xfId="3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6" fillId="0" borderId="0" xfId="3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3" fillId="0" borderId="0" xfId="3" applyFont="1" applyFill="1" applyAlignment="1">
      <alignment vertical="center"/>
    </xf>
    <xf numFmtId="0" fontId="3" fillId="0" borderId="0" xfId="0" applyFont="1" applyFill="1" applyAlignment="1">
      <alignment vertical="center"/>
    </xf>
    <xf numFmtId="166" fontId="16" fillId="0" borderId="1" xfId="3" applyNumberFormat="1" applyFont="1" applyBorder="1" applyAlignment="1">
      <alignment horizontal="center" vertical="center"/>
    </xf>
    <xf numFmtId="167" fontId="16" fillId="0" borderId="1" xfId="3" applyNumberFormat="1" applyFont="1" applyBorder="1" applyAlignment="1">
      <alignment horizontal="center" vertical="center"/>
    </xf>
    <xf numFmtId="165" fontId="3" fillId="0" borderId="2" xfId="3" applyFont="1" applyFill="1" applyBorder="1" applyAlignment="1">
      <alignment horizontal="center" vertical="center"/>
    </xf>
    <xf numFmtId="165" fontId="16" fillId="0" borderId="0" xfId="3" applyFont="1" applyFill="1" applyBorder="1" applyAlignment="1">
      <alignment horizontal="center"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22" fillId="0" borderId="0" xfId="3" applyFont="1" applyAlignment="1">
      <alignment vertical="center"/>
    </xf>
    <xf numFmtId="0" fontId="22" fillId="0" borderId="0" xfId="0" applyFont="1" applyAlignment="1">
      <alignment vertical="center"/>
    </xf>
    <xf numFmtId="165" fontId="2" fillId="0" borderId="0" xfId="3" applyFont="1" applyAlignment="1">
      <alignment vertical="center"/>
    </xf>
    <xf numFmtId="165" fontId="16" fillId="0" borderId="12" xfId="3" applyFont="1" applyBorder="1" applyAlignment="1">
      <alignment horizontal="center" vertical="center"/>
    </xf>
    <xf numFmtId="44" fontId="3" fillId="0" borderId="2" xfId="8" applyFont="1" applyBorder="1" applyAlignment="1">
      <alignment horizontal="center" vertical="center"/>
    </xf>
    <xf numFmtId="44" fontId="3" fillId="0" borderId="2" xfId="8" applyFont="1" applyFill="1" applyBorder="1" applyAlignment="1">
      <alignment horizontal="center" vertical="center"/>
    </xf>
    <xf numFmtId="44" fontId="3" fillId="0" borderId="1" xfId="8" applyFont="1" applyFill="1" applyBorder="1" applyAlignment="1">
      <alignment horizontal="center" vertical="center"/>
    </xf>
    <xf numFmtId="44" fontId="3" fillId="0" borderId="1" xfId="8" applyFont="1" applyBorder="1" applyAlignment="1">
      <alignment horizontal="center" vertical="center"/>
    </xf>
    <xf numFmtId="44" fontId="16" fillId="0" borderId="3" xfId="8" applyFont="1" applyBorder="1" applyAlignment="1">
      <alignment horizontal="center" vertical="center"/>
    </xf>
    <xf numFmtId="44" fontId="16" fillId="2" borderId="7" xfId="8" applyFont="1" applyFill="1" applyBorder="1" applyAlignment="1">
      <alignment horizontal="center" vertical="center"/>
    </xf>
    <xf numFmtId="44" fontId="16" fillId="0" borderId="1" xfId="8" applyFont="1" applyBorder="1" applyAlignment="1">
      <alignment horizontal="center" vertical="center"/>
    </xf>
    <xf numFmtId="44" fontId="16" fillId="2" borderId="4" xfId="8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horizontal="center" vertical="center"/>
    </xf>
    <xf numFmtId="44" fontId="3" fillId="0" borderId="1" xfId="8" applyFont="1" applyBorder="1" applyAlignment="1">
      <alignment vertical="center"/>
    </xf>
    <xf numFmtId="44" fontId="16" fillId="0" borderId="0" xfId="8" applyFont="1" applyFill="1" applyBorder="1" applyAlignment="1">
      <alignment vertical="center"/>
    </xf>
    <xf numFmtId="13" fontId="3" fillId="0" borderId="1" xfId="0" applyNumberFormat="1" applyFont="1" applyFill="1" applyBorder="1" applyAlignment="1">
      <alignment horizontal="center" vertical="center"/>
    </xf>
    <xf numFmtId="44" fontId="16" fillId="2" borderId="4" xfId="8" applyFont="1" applyFill="1" applyBorder="1" applyAlignment="1">
      <alignment horizontal="center" vertical="center"/>
    </xf>
    <xf numFmtId="44" fontId="16" fillId="0" borderId="49" xfId="8" applyFont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44" fontId="16" fillId="0" borderId="49" xfId="8" applyFont="1" applyFill="1" applyBorder="1" applyAlignment="1">
      <alignment horizontal="center" vertical="center"/>
    </xf>
    <xf numFmtId="165" fontId="3" fillId="0" borderId="1" xfId="3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4" fontId="16" fillId="0" borderId="1" xfId="8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5" fontId="16" fillId="0" borderId="0" xfId="3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6" fontId="3" fillId="0" borderId="1" xfId="3" applyNumberFormat="1" applyFont="1" applyFill="1" applyBorder="1" applyAlignment="1">
      <alignment horizontal="center" vertical="center"/>
    </xf>
    <xf numFmtId="165" fontId="16" fillId="0" borderId="13" xfId="3" applyFont="1" applyFill="1" applyBorder="1" applyAlignment="1">
      <alignment vertical="center"/>
    </xf>
    <xf numFmtId="165" fontId="16" fillId="0" borderId="9" xfId="0" applyNumberFormat="1" applyFont="1" applyFill="1" applyBorder="1" applyAlignment="1">
      <alignment vertical="center"/>
    </xf>
    <xf numFmtId="165" fontId="16" fillId="0" borderId="9" xfId="3" applyFont="1" applyFill="1" applyBorder="1" applyAlignment="1">
      <alignment vertical="center"/>
    </xf>
    <xf numFmtId="165" fontId="3" fillId="0" borderId="13" xfId="3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vertical="center"/>
    </xf>
    <xf numFmtId="165" fontId="3" fillId="0" borderId="9" xfId="3" applyFont="1" applyFill="1" applyBorder="1" applyAlignment="1">
      <alignment vertical="center"/>
    </xf>
    <xf numFmtId="165" fontId="16" fillId="0" borderId="13" xfId="3" applyFont="1" applyFill="1" applyBorder="1" applyAlignment="1">
      <alignment horizontal="left" vertical="center"/>
    </xf>
    <xf numFmtId="4" fontId="16" fillId="0" borderId="9" xfId="0" applyNumberFormat="1" applyFont="1" applyFill="1" applyBorder="1" applyAlignment="1">
      <alignment horizontal="centerContinuous" vertical="center"/>
    </xf>
    <xf numFmtId="165" fontId="3" fillId="0" borderId="13" xfId="3" applyFont="1" applyFill="1" applyBorder="1" applyAlignment="1">
      <alignment horizontal="left" vertical="center"/>
    </xf>
    <xf numFmtId="4" fontId="3" fillId="0" borderId="9" xfId="0" applyNumberFormat="1" applyFont="1" applyFill="1" applyBorder="1" applyAlignment="1">
      <alignment horizontal="centerContinuous" vertical="center"/>
    </xf>
    <xf numFmtId="165" fontId="3" fillId="0" borderId="18" xfId="3" applyFont="1" applyFill="1" applyBorder="1" applyAlignment="1">
      <alignment vertical="center"/>
    </xf>
    <xf numFmtId="165" fontId="3" fillId="0" borderId="39" xfId="3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10" fontId="3" fillId="0" borderId="36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3" fontId="3" fillId="0" borderId="1" xfId="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16" fillId="0" borderId="4" xfId="2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4" fontId="3" fillId="0" borderId="1" xfId="8" applyFont="1" applyFill="1" applyBorder="1" applyAlignment="1">
      <alignment vertical="center"/>
    </xf>
    <xf numFmtId="44" fontId="3" fillId="0" borderId="0" xfId="8" applyFont="1" applyFill="1" applyAlignment="1">
      <alignment vertical="center"/>
    </xf>
    <xf numFmtId="0" fontId="16" fillId="0" borderId="49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5" applyFont="1" applyFill="1"/>
    <xf numFmtId="3" fontId="3" fillId="0" borderId="1" xfId="0" applyNumberFormat="1" applyFont="1" applyFill="1" applyBorder="1" applyAlignment="1">
      <alignment vertical="center"/>
    </xf>
    <xf numFmtId="0" fontId="3" fillId="0" borderId="2" xfId="4" applyFont="1" applyFill="1" applyBorder="1" applyAlignment="1">
      <alignment horizontal="center"/>
    </xf>
    <xf numFmtId="0" fontId="3" fillId="0" borderId="3" xfId="4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16" fillId="0" borderId="0" xfId="8" applyFont="1" applyFill="1" applyBorder="1" applyAlignment="1">
      <alignment horizontal="center" vertical="center"/>
    </xf>
    <xf numFmtId="165" fontId="3" fillId="0" borderId="56" xfId="3" applyFont="1" applyFill="1" applyBorder="1" applyAlignment="1">
      <alignment vertical="center"/>
    </xf>
    <xf numFmtId="165" fontId="3" fillId="0" borderId="57" xfId="3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1" fontId="3" fillId="0" borderId="46" xfId="3" applyNumberFormat="1" applyFont="1" applyBorder="1" applyAlignment="1">
      <alignment horizontal="center" vertical="center"/>
    </xf>
    <xf numFmtId="165" fontId="3" fillId="0" borderId="2" xfId="3" applyNumberFormat="1" applyFont="1" applyFill="1" applyBorder="1" applyAlignment="1">
      <alignment horizontal="center" vertical="center"/>
    </xf>
    <xf numFmtId="165" fontId="3" fillId="0" borderId="0" xfId="3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4" fillId="0" borderId="0" xfId="5" applyFont="1"/>
    <xf numFmtId="0" fontId="16" fillId="0" borderId="16" xfId="5" applyFont="1" applyFill="1" applyBorder="1" applyAlignment="1">
      <alignment horizontal="center"/>
    </xf>
    <xf numFmtId="0" fontId="16" fillId="0" borderId="17" xfId="5" applyFont="1" applyBorder="1" applyAlignment="1">
      <alignment horizontal="center"/>
    </xf>
    <xf numFmtId="0" fontId="3" fillId="0" borderId="58" xfId="5" applyFont="1" applyBorder="1" applyAlignment="1">
      <alignment horizontal="left"/>
    </xf>
    <xf numFmtId="0" fontId="24" fillId="0" borderId="0" xfId="5" applyFont="1" applyFill="1"/>
    <xf numFmtId="44" fontId="3" fillId="0" borderId="0" xfId="5" applyNumberFormat="1" applyFont="1" applyBorder="1" applyAlignment="1">
      <alignment horizontal="left"/>
    </xf>
    <xf numFmtId="44" fontId="16" fillId="8" borderId="4" xfId="8" applyFont="1" applyFill="1" applyBorder="1" applyAlignment="1">
      <alignment horizontal="left"/>
    </xf>
    <xf numFmtId="0" fontId="16" fillId="0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4" fontId="16" fillId="0" borderId="2" xfId="8" applyFont="1" applyFill="1" applyBorder="1" applyAlignment="1">
      <alignment horizontal="center" vertical="center"/>
    </xf>
    <xf numFmtId="44" fontId="16" fillId="0" borderId="53" xfId="8" applyFont="1" applyBorder="1" applyAlignment="1">
      <alignment horizontal="center" vertical="center"/>
    </xf>
    <xf numFmtId="165" fontId="3" fillId="0" borderId="0" xfId="3" applyFont="1" applyFill="1" applyAlignment="1">
      <alignment horizontal="center" vertical="center"/>
    </xf>
    <xf numFmtId="44" fontId="16" fillId="0" borderId="3" xfId="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3" applyFont="1" applyFill="1" applyAlignment="1">
      <alignment horizontal="right" vertical="center"/>
    </xf>
    <xf numFmtId="0" fontId="16" fillId="0" borderId="15" xfId="5" applyFont="1" applyFill="1" applyBorder="1" applyAlignment="1">
      <alignment horizontal="center"/>
    </xf>
    <xf numFmtId="0" fontId="3" fillId="0" borderId="2" xfId="5" applyFont="1" applyFill="1" applyBorder="1" applyAlignment="1"/>
    <xf numFmtId="0" fontId="3" fillId="0" borderId="2" xfId="5" applyFont="1" applyFill="1" applyBorder="1" applyAlignment="1">
      <alignment horizontal="center"/>
    </xf>
    <xf numFmtId="174" fontId="3" fillId="0" borderId="2" xfId="5" applyNumberFormat="1" applyFont="1" applyFill="1" applyBorder="1" applyAlignment="1">
      <alignment horizontal="center"/>
    </xf>
    <xf numFmtId="44" fontId="14" fillId="0" borderId="2" xfId="5" applyNumberFormat="1" applyFont="1" applyFill="1" applyBorder="1" applyAlignment="1">
      <alignment horizontal="left"/>
    </xf>
    <xf numFmtId="44" fontId="3" fillId="0" borderId="2" xfId="5" applyNumberFormat="1" applyFont="1" applyFill="1" applyBorder="1" applyAlignment="1">
      <alignment horizontal="left"/>
    </xf>
    <xf numFmtId="0" fontId="13" fillId="0" borderId="0" xfId="0" applyFont="1" applyFill="1" applyBorder="1"/>
    <xf numFmtId="0" fontId="3" fillId="0" borderId="0" xfId="0" applyFont="1" applyFill="1" applyBorder="1"/>
    <xf numFmtId="168" fontId="3" fillId="0" borderId="1" xfId="0" applyNumberFormat="1" applyFont="1" applyFill="1" applyBorder="1" applyAlignment="1">
      <alignment vertical="center"/>
    </xf>
    <xf numFmtId="0" fontId="3" fillId="0" borderId="1" xfId="5" applyFont="1" applyBorder="1" applyAlignment="1"/>
    <xf numFmtId="4" fontId="3" fillId="0" borderId="0" xfId="0" applyNumberFormat="1" applyFont="1" applyBorder="1" applyAlignment="1">
      <alignment horizontal="center" vertical="center"/>
    </xf>
    <xf numFmtId="44" fontId="3" fillId="0" borderId="0" xfId="8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4" fontId="16" fillId="2" borderId="0" xfId="8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165" fontId="16" fillId="2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6" fontId="3" fillId="0" borderId="0" xfId="3" applyNumberFormat="1" applyFont="1" applyFill="1" applyBorder="1" applyAlignment="1">
      <alignment horizontal="center" vertical="center"/>
    </xf>
    <xf numFmtId="44" fontId="3" fillId="0" borderId="0" xfId="8" applyFont="1" applyFill="1" applyBorder="1" applyAlignment="1">
      <alignment horizontal="center" vertical="center"/>
    </xf>
    <xf numFmtId="44" fontId="3" fillId="0" borderId="0" xfId="8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left" vertical="center"/>
    </xf>
    <xf numFmtId="4" fontId="23" fillId="0" borderId="0" xfId="0" applyNumberFormat="1" applyFont="1" applyBorder="1" applyAlignment="1">
      <alignment vertical="center"/>
    </xf>
    <xf numFmtId="0" fontId="27" fillId="0" borderId="0" xfId="0" applyFont="1"/>
    <xf numFmtId="0" fontId="13" fillId="9" borderId="19" xfId="0" applyFont="1" applyFill="1" applyBorder="1"/>
    <xf numFmtId="0" fontId="3" fillId="9" borderId="19" xfId="0" applyFont="1" applyFill="1" applyBorder="1"/>
    <xf numFmtId="0" fontId="3" fillId="9" borderId="44" xfId="0" applyFont="1" applyFill="1" applyBorder="1"/>
    <xf numFmtId="0" fontId="3" fillId="9" borderId="46" xfId="0" applyFont="1" applyFill="1" applyBorder="1"/>
    <xf numFmtId="4" fontId="2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165" fontId="16" fillId="0" borderId="13" xfId="3" applyFont="1" applyFill="1" applyBorder="1" applyAlignment="1">
      <alignment horizontal="left" vertical="center"/>
    </xf>
    <xf numFmtId="165" fontId="16" fillId="0" borderId="9" xfId="3" applyFont="1" applyFill="1" applyBorder="1" applyAlignment="1">
      <alignment horizontal="left" vertical="center"/>
    </xf>
    <xf numFmtId="165" fontId="16" fillId="0" borderId="5" xfId="3" applyFont="1" applyBorder="1" applyAlignment="1">
      <alignment horizontal="left" vertical="center"/>
    </xf>
    <xf numFmtId="165" fontId="16" fillId="0" borderId="6" xfId="3" applyFont="1" applyBorder="1" applyAlignment="1">
      <alignment horizontal="left" vertical="center"/>
    </xf>
    <xf numFmtId="165" fontId="16" fillId="0" borderId="41" xfId="3" applyFont="1" applyBorder="1" applyAlignment="1">
      <alignment horizontal="left" vertical="center"/>
    </xf>
    <xf numFmtId="165" fontId="16" fillId="6" borderId="5" xfId="3" applyFont="1" applyFill="1" applyBorder="1" applyAlignment="1">
      <alignment horizontal="center" vertical="center"/>
    </xf>
    <xf numFmtId="165" fontId="16" fillId="6" borderId="6" xfId="3" applyFont="1" applyFill="1" applyBorder="1" applyAlignment="1">
      <alignment horizontal="center" vertical="center"/>
    </xf>
    <xf numFmtId="165" fontId="16" fillId="6" borderId="7" xfId="3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/>
    </xf>
    <xf numFmtId="0" fontId="16" fillId="6" borderId="42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9" fontId="16" fillId="0" borderId="20" xfId="2" applyFont="1" applyBorder="1" applyAlignment="1">
      <alignment horizontal="center"/>
    </xf>
    <xf numFmtId="9" fontId="16" fillId="0" borderId="21" xfId="2" applyFont="1" applyBorder="1" applyAlignment="1">
      <alignment horizontal="center"/>
    </xf>
    <xf numFmtId="9" fontId="16" fillId="0" borderId="11" xfId="2" applyFont="1" applyBorder="1" applyAlignment="1">
      <alignment horizont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/>
    </xf>
    <xf numFmtId="0" fontId="16" fillId="6" borderId="21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3" fillId="8" borderId="28" xfId="4" applyFont="1" applyFill="1" applyBorder="1" applyAlignment="1">
      <alignment horizontal="center"/>
    </xf>
  </cellXfs>
  <cellStyles count="9">
    <cellStyle name="Hyperlink" xfId="1" builtinId="8"/>
    <cellStyle name="Moeda" xfId="8" builtinId="4"/>
    <cellStyle name="Normal" xfId="0" builtinId="0"/>
    <cellStyle name="Normal 2" xfId="5"/>
    <cellStyle name="Normal 3" xfId="6"/>
    <cellStyle name="Normal 4" xfId="4"/>
    <cellStyle name="Porcentagem" xfId="2" builtinId="5"/>
    <cellStyle name="Porcentagem 2" xfId="7"/>
    <cellStyle name="Separador de milhares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85724</xdr:rowOff>
    </xdr:from>
    <xdr:to>
      <xdr:col>0</xdr:col>
      <xdr:colOff>2381734</xdr:colOff>
      <xdr:row>6</xdr:row>
      <xdr:rowOff>104775</xdr:rowOff>
    </xdr:to>
    <xdr:pic>
      <xdr:nvPicPr>
        <xdr:cNvPr id="4" name="Imagem 3" descr="Usar esse Brasão 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85724"/>
          <a:ext cx="1057759" cy="1085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3"/>
  <sheetViews>
    <sheetView showGridLines="0" tabSelected="1" view="pageBreakPreview" zoomScale="110" zoomScaleSheetLayoutView="110" workbookViewId="0">
      <selection activeCell="A16" sqref="A16"/>
    </sheetView>
  </sheetViews>
  <sheetFormatPr defaultRowHeight="11.25"/>
  <cols>
    <col min="1" max="1" width="64" style="2" bestFit="1" customWidth="1"/>
    <col min="2" max="2" width="16" style="2" bestFit="1" customWidth="1"/>
    <col min="3" max="3" width="11.85546875" style="2" customWidth="1"/>
    <col min="4" max="4" width="14.7109375" style="41" customWidth="1"/>
    <col min="5" max="5" width="15.42578125" style="41" customWidth="1"/>
    <col min="6" max="6" width="13.28515625" style="41" customWidth="1"/>
    <col min="7" max="7" width="21.42578125" style="41" customWidth="1"/>
    <col min="8" max="8" width="11.5703125" style="2" bestFit="1" customWidth="1"/>
    <col min="9" max="9" width="10.7109375" style="2" bestFit="1" customWidth="1"/>
    <col min="10" max="10" width="15.140625" style="2" bestFit="1" customWidth="1"/>
    <col min="11" max="11" width="10.7109375" style="2" bestFit="1" customWidth="1"/>
    <col min="12" max="12" width="15.140625" style="2" bestFit="1" customWidth="1"/>
    <col min="13" max="13" width="9.140625" style="2"/>
    <col min="14" max="14" width="9.28515625" style="2" bestFit="1" customWidth="1"/>
    <col min="15" max="16384" width="9.140625" style="2"/>
  </cols>
  <sheetData>
    <row r="1" spans="1:6" ht="12.75">
      <c r="A1" s="376" t="s">
        <v>284</v>
      </c>
      <c r="B1" s="376"/>
      <c r="C1" s="376"/>
      <c r="D1" s="376"/>
      <c r="E1" s="376"/>
      <c r="F1" s="376"/>
    </row>
    <row r="2" spans="1:6" ht="12.75">
      <c r="A2" s="377" t="s">
        <v>285</v>
      </c>
      <c r="B2" s="377"/>
      <c r="C2" s="377"/>
      <c r="D2" s="377"/>
      <c r="E2" s="377"/>
      <c r="F2" s="377"/>
    </row>
    <row r="3" spans="1:6" ht="12.75">
      <c r="A3" s="376" t="s">
        <v>286</v>
      </c>
      <c r="B3" s="376"/>
      <c r="C3" s="376"/>
      <c r="D3" s="376"/>
      <c r="E3" s="376"/>
      <c r="F3" s="376"/>
    </row>
    <row r="4" spans="1:6" ht="15.75">
      <c r="A4" s="5"/>
      <c r="B4" s="1"/>
      <c r="C4" s="1"/>
      <c r="D4" s="261"/>
      <c r="E4" s="261"/>
      <c r="F4" s="261"/>
    </row>
    <row r="5" spans="1:6" ht="15.6" customHeight="1">
      <c r="A5" s="378" t="s">
        <v>287</v>
      </c>
      <c r="B5" s="378"/>
      <c r="C5" s="378"/>
      <c r="D5" s="378"/>
      <c r="E5" s="378"/>
      <c r="F5" s="378"/>
    </row>
    <row r="6" spans="1:6" ht="15.6" customHeight="1">
      <c r="A6" s="374" t="s">
        <v>288</v>
      </c>
      <c r="B6" s="374"/>
      <c r="C6" s="374"/>
      <c r="D6" s="374"/>
      <c r="E6" s="374"/>
      <c r="F6" s="374"/>
    </row>
    <row r="7" spans="1:6" ht="15.6" customHeight="1">
      <c r="A7" s="374" t="s">
        <v>289</v>
      </c>
      <c r="B7" s="374"/>
      <c r="C7" s="374"/>
      <c r="D7" s="374"/>
      <c r="E7" s="374"/>
      <c r="F7" s="374"/>
    </row>
    <row r="8" spans="1:6" ht="15.6" customHeight="1">
      <c r="A8" s="354"/>
      <c r="B8" s="354"/>
      <c r="C8" s="354"/>
      <c r="D8" s="354"/>
      <c r="E8" s="354"/>
      <c r="F8" s="354"/>
    </row>
    <row r="9" spans="1:6" ht="15.6" customHeight="1">
      <c r="A9" s="373" t="s">
        <v>367</v>
      </c>
      <c r="B9" s="373"/>
      <c r="C9" s="373"/>
      <c r="D9" s="373"/>
      <c r="E9" s="373"/>
      <c r="F9" s="373"/>
    </row>
    <row r="10" spans="1:6" ht="15.6" customHeight="1">
      <c r="A10" s="354"/>
      <c r="B10" s="354"/>
      <c r="C10" s="354"/>
      <c r="D10" s="354"/>
      <c r="E10" s="354"/>
      <c r="F10" s="354"/>
    </row>
    <row r="11" spans="1:6" ht="15.6" customHeight="1">
      <c r="A11" s="375" t="s">
        <v>369</v>
      </c>
      <c r="B11" s="375"/>
      <c r="C11" s="375"/>
      <c r="D11" s="375"/>
      <c r="E11" s="375"/>
      <c r="F11" s="375"/>
    </row>
    <row r="12" spans="1:6" ht="15.6" customHeight="1">
      <c r="A12" s="373" t="s">
        <v>313</v>
      </c>
      <c r="B12" s="373"/>
      <c r="C12" s="373"/>
      <c r="D12" s="373"/>
      <c r="E12" s="373"/>
      <c r="F12" s="373"/>
    </row>
    <row r="13" spans="1:6" ht="15.6" customHeight="1">
      <c r="A13" s="373" t="s">
        <v>384</v>
      </c>
      <c r="B13" s="373"/>
      <c r="C13" s="373"/>
      <c r="D13" s="373"/>
      <c r="E13" s="373"/>
      <c r="F13" s="373"/>
    </row>
    <row r="14" spans="1:6" ht="15.6" customHeight="1">
      <c r="A14" s="365"/>
      <c r="B14" s="365"/>
      <c r="C14" s="365"/>
      <c r="D14" s="365"/>
      <c r="E14" s="365"/>
      <c r="F14" s="365"/>
    </row>
    <row r="15" spans="1:6" ht="15.6" customHeight="1">
      <c r="A15" s="366" t="s">
        <v>370</v>
      </c>
      <c r="B15" s="365"/>
      <c r="C15" s="365"/>
      <c r="D15" s="365"/>
      <c r="E15" s="365"/>
      <c r="F15" s="365"/>
    </row>
    <row r="16" spans="1:6" ht="15.6" customHeight="1">
      <c r="A16" s="367" t="s">
        <v>371</v>
      </c>
      <c r="B16" s="365"/>
      <c r="C16" s="365"/>
      <c r="D16" s="365"/>
      <c r="E16" s="365"/>
      <c r="F16" s="365"/>
    </row>
    <row r="17" spans="1:7" ht="15.6" customHeight="1">
      <c r="A17" s="367" t="s">
        <v>372</v>
      </c>
      <c r="B17" s="367"/>
      <c r="C17" s="367"/>
      <c r="D17" s="367"/>
      <c r="E17" s="367"/>
      <c r="F17" s="367"/>
    </row>
    <row r="18" spans="1:7" ht="10.9" customHeight="1" thickBot="1">
      <c r="A18" s="159"/>
      <c r="B18" s="160"/>
      <c r="C18" s="160"/>
      <c r="D18" s="161"/>
      <c r="E18" s="161"/>
      <c r="F18" s="162"/>
    </row>
    <row r="19" spans="1:7" ht="15.75" customHeight="1" thickBot="1">
      <c r="A19" s="387" t="s">
        <v>290</v>
      </c>
      <c r="B19" s="388"/>
      <c r="C19" s="388"/>
      <c r="D19" s="388"/>
      <c r="E19" s="388"/>
      <c r="F19" s="389"/>
    </row>
    <row r="20" spans="1:7" ht="15.75" customHeight="1">
      <c r="A20" s="163" t="s">
        <v>291</v>
      </c>
      <c r="B20" s="164"/>
      <c r="C20" s="164"/>
      <c r="D20" s="165"/>
      <c r="E20" s="166" t="s">
        <v>292</v>
      </c>
      <c r="F20" s="167" t="s">
        <v>1</v>
      </c>
    </row>
    <row r="21" spans="1:7" s="39" customFormat="1" ht="15.75" customHeight="1">
      <c r="A21" s="286" t="str">
        <f>A66</f>
        <v>1. MÃO-DE-OBRA</v>
      </c>
      <c r="B21" s="287"/>
      <c r="C21" s="288"/>
      <c r="D21" s="168"/>
      <c r="E21" s="169" t="e">
        <f>+F161</f>
        <v>#VALUE!</v>
      </c>
      <c r="F21" s="170">
        <f t="shared" ref="F21:F47" si="0">IFERROR(E21/$E$48,0)</f>
        <v>0</v>
      </c>
      <c r="G21" s="171"/>
    </row>
    <row r="22" spans="1:7" ht="15.75" customHeight="1">
      <c r="A22" s="289" t="str">
        <f>A67</f>
        <v>1.1. Coletor Turno Integral Dia</v>
      </c>
      <c r="B22" s="290"/>
      <c r="C22" s="291"/>
      <c r="D22" s="172"/>
      <c r="E22" s="173">
        <f>F75</f>
        <v>0</v>
      </c>
      <c r="F22" s="174">
        <f t="shared" si="0"/>
        <v>0</v>
      </c>
    </row>
    <row r="23" spans="1:7" ht="15.75" customHeight="1">
      <c r="A23" s="289" t="str">
        <f>A77</f>
        <v>1.2. Coletor Turno Parcial Dia</v>
      </c>
      <c r="B23" s="290"/>
      <c r="C23" s="291"/>
      <c r="D23" s="172"/>
      <c r="E23" s="173">
        <f>F85</f>
        <v>0</v>
      </c>
      <c r="F23" s="174">
        <f t="shared" si="0"/>
        <v>0</v>
      </c>
    </row>
    <row r="24" spans="1:7" ht="15.75" customHeight="1">
      <c r="A24" s="289" t="str">
        <f>A87</f>
        <v>1.3. Motorista Turno Integral Dia</v>
      </c>
      <c r="B24" s="290"/>
      <c r="C24" s="291"/>
      <c r="D24" s="172"/>
      <c r="E24" s="173">
        <f>F97</f>
        <v>0</v>
      </c>
      <c r="F24" s="174">
        <f t="shared" si="0"/>
        <v>0</v>
      </c>
    </row>
    <row r="25" spans="1:7" ht="15.75" customHeight="1">
      <c r="A25" s="289" t="str">
        <f>A99</f>
        <v>1.4. Motorista Turno Parcial Dia</v>
      </c>
      <c r="B25" s="290"/>
      <c r="C25" s="291"/>
      <c r="D25" s="172"/>
      <c r="E25" s="173">
        <f>F109</f>
        <v>0</v>
      </c>
      <c r="F25" s="174">
        <f t="shared" si="0"/>
        <v>0</v>
      </c>
    </row>
    <row r="26" spans="1:7" ht="15.75" customHeight="1">
      <c r="A26" s="289" t="str">
        <f>A111</f>
        <v>1.5. Vale Transporte</v>
      </c>
      <c r="B26" s="290"/>
      <c r="C26" s="291"/>
      <c r="D26" s="172"/>
      <c r="E26" s="173">
        <f>F119</f>
        <v>0</v>
      </c>
      <c r="F26" s="174">
        <f t="shared" si="0"/>
        <v>0</v>
      </c>
    </row>
    <row r="27" spans="1:7" ht="15.75" customHeight="1">
      <c r="A27" s="289" t="str">
        <f>A121</f>
        <v>1.6. Auxílio Alimentação (diário)</v>
      </c>
      <c r="B27" s="290"/>
      <c r="C27" s="291"/>
      <c r="D27" s="172"/>
      <c r="E27" s="173">
        <f>F127</f>
        <v>0</v>
      </c>
      <c r="F27" s="174">
        <f t="shared" si="0"/>
        <v>0</v>
      </c>
    </row>
    <row r="28" spans="1:7" ht="15.75" customHeight="1">
      <c r="A28" s="289" t="str">
        <f>A129</f>
        <v>1.7. Auxílio Refeição (diário)</v>
      </c>
      <c r="B28" s="290"/>
      <c r="C28" s="291"/>
      <c r="D28" s="172"/>
      <c r="E28" s="173">
        <f>F135</f>
        <v>0</v>
      </c>
      <c r="F28" s="174">
        <f t="shared" si="0"/>
        <v>0</v>
      </c>
    </row>
    <row r="29" spans="1:7" ht="15.75" customHeight="1">
      <c r="A29" s="289" t="str">
        <f>A137</f>
        <v>1.8. Auxílio Alimentação (mensal)</v>
      </c>
      <c r="B29" s="290"/>
      <c r="C29" s="291"/>
      <c r="D29" s="172"/>
      <c r="E29" s="173" t="e">
        <f>F143</f>
        <v>#VALUE!</v>
      </c>
      <c r="F29" s="174">
        <f t="shared" si="0"/>
        <v>0</v>
      </c>
    </row>
    <row r="30" spans="1:7" ht="15.75" customHeight="1">
      <c r="A30" s="289" t="str">
        <f>A145</f>
        <v>1.9. Auxílio Lanche (diário)</v>
      </c>
      <c r="B30" s="290"/>
      <c r="C30" s="291"/>
      <c r="D30" s="172"/>
      <c r="E30" s="173" t="e">
        <f>F151</f>
        <v>#VALUE!</v>
      </c>
      <c r="F30" s="174">
        <f t="shared" si="0"/>
        <v>0</v>
      </c>
    </row>
    <row r="31" spans="1:7" ht="15.75" customHeight="1">
      <c r="A31" s="289" t="str">
        <f>A153</f>
        <v>1.10. Plano Benefício Social Familiar</v>
      </c>
      <c r="B31" s="290"/>
      <c r="C31" s="291"/>
      <c r="D31" s="172"/>
      <c r="E31" s="173">
        <f>F159</f>
        <v>0</v>
      </c>
      <c r="F31" s="174">
        <f t="shared" si="0"/>
        <v>0</v>
      </c>
    </row>
    <row r="32" spans="1:7" s="39" customFormat="1" ht="15.75" customHeight="1">
      <c r="A32" s="382" t="str">
        <f>A163</f>
        <v>2. UNIFORMES E EQUIPAMENTOS DE PROTEÇÃO INDIVIDUAL</v>
      </c>
      <c r="B32" s="383"/>
      <c r="C32" s="383"/>
      <c r="D32" s="168"/>
      <c r="E32" s="169">
        <f>+F186</f>
        <v>0</v>
      </c>
      <c r="F32" s="170">
        <f t="shared" si="0"/>
        <v>0</v>
      </c>
      <c r="G32" s="171"/>
    </row>
    <row r="33" spans="1:7" s="39" customFormat="1" ht="15.75" customHeight="1">
      <c r="A33" s="292" t="str">
        <f>A188</f>
        <v>3. VEÍCULOS E EQUIPAMENTOS</v>
      </c>
      <c r="B33" s="293"/>
      <c r="C33" s="288"/>
      <c r="D33" s="168"/>
      <c r="E33" s="169">
        <f>+F289</f>
        <v>0</v>
      </c>
      <c r="F33" s="170">
        <f t="shared" si="0"/>
        <v>0</v>
      </c>
      <c r="G33" s="171"/>
    </row>
    <row r="34" spans="1:7" ht="15.75" customHeight="1">
      <c r="A34" s="294" t="str">
        <f>A189</f>
        <v>3.1. Veículo ______________________ m³</v>
      </c>
      <c r="B34" s="295"/>
      <c r="C34" s="291"/>
      <c r="D34" s="172"/>
      <c r="E34" s="173">
        <f>SUM(E35:E40)</f>
        <v>0</v>
      </c>
      <c r="F34" s="174">
        <f t="shared" si="0"/>
        <v>0</v>
      </c>
    </row>
    <row r="35" spans="1:7" ht="15.75" customHeight="1">
      <c r="A35" s="294" t="str">
        <f>A190</f>
        <v>3.1.1. Depreciação</v>
      </c>
      <c r="B35" s="295"/>
      <c r="C35" s="291"/>
      <c r="D35" s="172"/>
      <c r="E35" s="173">
        <f>F204</f>
        <v>0</v>
      </c>
      <c r="F35" s="174">
        <f t="shared" si="0"/>
        <v>0</v>
      </c>
    </row>
    <row r="36" spans="1:7" ht="15.75" customHeight="1">
      <c r="A36" s="294" t="str">
        <f>A206</f>
        <v>3.1.2. Remuneração do Capital</v>
      </c>
      <c r="B36" s="295"/>
      <c r="C36" s="291"/>
      <c r="D36" s="172"/>
      <c r="E36" s="173">
        <f>F220</f>
        <v>0</v>
      </c>
      <c r="F36" s="174">
        <f t="shared" si="0"/>
        <v>0</v>
      </c>
    </row>
    <row r="37" spans="1:7" ht="15.75" customHeight="1">
      <c r="A37" s="294" t="str">
        <f>A222</f>
        <v>3.1.3. Impostos e Seguros</v>
      </c>
      <c r="B37" s="295"/>
      <c r="C37" s="291"/>
      <c r="D37" s="172"/>
      <c r="E37" s="173">
        <f>F228</f>
        <v>0</v>
      </c>
      <c r="F37" s="174">
        <f t="shared" si="0"/>
        <v>0</v>
      </c>
    </row>
    <row r="38" spans="1:7" ht="15.75" customHeight="1">
      <c r="A38" s="294" t="str">
        <f>A230</f>
        <v>3.1.4. Consumos</v>
      </c>
      <c r="B38" s="295"/>
      <c r="C38" s="291"/>
      <c r="D38" s="172"/>
      <c r="E38" s="173">
        <f>F246</f>
        <v>0</v>
      </c>
      <c r="F38" s="174">
        <f t="shared" si="0"/>
        <v>0</v>
      </c>
    </row>
    <row r="39" spans="1:7" ht="15.75" customHeight="1">
      <c r="A39" s="294" t="str">
        <f>A248</f>
        <v>3.1.5. Manutenção</v>
      </c>
      <c r="B39" s="295"/>
      <c r="C39" s="291"/>
      <c r="D39" s="172"/>
      <c r="E39" s="173">
        <f>F251</f>
        <v>0</v>
      </c>
      <c r="F39" s="174">
        <f t="shared" si="0"/>
        <v>0</v>
      </c>
    </row>
    <row r="40" spans="1:7" ht="15.75" customHeight="1">
      <c r="A40" s="294" t="str">
        <f>A253</f>
        <v>3.1.6. Pneus</v>
      </c>
      <c r="B40" s="295"/>
      <c r="C40" s="291"/>
      <c r="D40" s="172"/>
      <c r="E40" s="173">
        <f>F260</f>
        <v>0</v>
      </c>
      <c r="F40" s="174">
        <f t="shared" si="0"/>
        <v>0</v>
      </c>
    </row>
    <row r="41" spans="1:7" ht="15.75" customHeight="1">
      <c r="A41" s="294" t="str">
        <f>A262</f>
        <v>3.2 Custo de aquisição do contêiner</v>
      </c>
      <c r="B41" s="295"/>
      <c r="C41" s="291"/>
      <c r="D41" s="172"/>
      <c r="E41" s="352">
        <f>SUM(E42:E44)</f>
        <v>0</v>
      </c>
      <c r="F41" s="174">
        <f t="shared" si="0"/>
        <v>0</v>
      </c>
    </row>
    <row r="42" spans="1:7" ht="15.75" customHeight="1">
      <c r="A42" s="294" t="str">
        <f>A263</f>
        <v>3.2.1. Depreciação</v>
      </c>
      <c r="B42" s="295"/>
      <c r="C42" s="291"/>
      <c r="D42" s="172"/>
      <c r="E42" s="352">
        <f>+F271</f>
        <v>0</v>
      </c>
      <c r="F42" s="174">
        <f t="shared" si="0"/>
        <v>0</v>
      </c>
    </row>
    <row r="43" spans="1:7" ht="15.75" customHeight="1">
      <c r="A43" s="294" t="str">
        <f>A273</f>
        <v>3.2.2. Remuneração do Capital</v>
      </c>
      <c r="B43" s="295"/>
      <c r="C43" s="291"/>
      <c r="D43" s="172"/>
      <c r="E43" s="352">
        <f>+F282</f>
        <v>0</v>
      </c>
      <c r="F43" s="174">
        <f t="shared" si="0"/>
        <v>0</v>
      </c>
    </row>
    <row r="44" spans="1:7" ht="15.75" customHeight="1">
      <c r="A44" s="294" t="str">
        <f>A284</f>
        <v>3.2.3 Manutenção e Higienização</v>
      </c>
      <c r="B44" s="295"/>
      <c r="C44" s="291"/>
      <c r="D44" s="172"/>
      <c r="E44" s="352">
        <f>+F287</f>
        <v>0</v>
      </c>
      <c r="F44" s="174">
        <f t="shared" si="0"/>
        <v>0</v>
      </c>
    </row>
    <row r="45" spans="1:7" s="39" customFormat="1" ht="15.75" customHeight="1">
      <c r="A45" s="292" t="str">
        <f>A291</f>
        <v>4. FERRAMENTAS E MATERIAIS DE CONSUMO</v>
      </c>
      <c r="B45" s="293"/>
      <c r="C45" s="288"/>
      <c r="D45" s="168"/>
      <c r="E45" s="169">
        <f>+F300</f>
        <v>0</v>
      </c>
      <c r="F45" s="170">
        <f t="shared" si="0"/>
        <v>0</v>
      </c>
      <c r="G45" s="171"/>
    </row>
    <row r="46" spans="1:7" s="39" customFormat="1" ht="15.75" customHeight="1">
      <c r="A46" s="292" t="str">
        <f>A302</f>
        <v>5. MONITORAMENTO DA FROTA</v>
      </c>
      <c r="B46" s="293"/>
      <c r="C46" s="288"/>
      <c r="D46" s="168"/>
      <c r="E46" s="169">
        <f>+F310</f>
        <v>0</v>
      </c>
      <c r="F46" s="170">
        <f t="shared" si="0"/>
        <v>0</v>
      </c>
      <c r="G46" s="171"/>
    </row>
    <row r="47" spans="1:7" s="39" customFormat="1" ht="15.75" customHeight="1" thickBot="1">
      <c r="A47" s="292" t="str">
        <f>A314</f>
        <v>6. BENEFÍCIOS E DESPESAS INDIRETAS - BDI</v>
      </c>
      <c r="B47" s="293"/>
      <c r="C47" s="288"/>
      <c r="D47" s="168"/>
      <c r="E47" s="175" t="e">
        <f>+F319</f>
        <v>#VALUE!</v>
      </c>
      <c r="F47" s="170">
        <f t="shared" si="0"/>
        <v>0</v>
      </c>
      <c r="G47" s="171"/>
    </row>
    <row r="48" spans="1:7" ht="15.75" customHeight="1" thickBot="1">
      <c r="A48" s="176" t="s">
        <v>181</v>
      </c>
      <c r="B48" s="177"/>
      <c r="C48" s="178"/>
      <c r="D48" s="178"/>
      <c r="E48" s="179" t="e">
        <f>E21+E32+E33+E45+E46+E47</f>
        <v>#VALUE!</v>
      </c>
      <c r="F48" s="180">
        <f>F21+F32+F33+F45+F46+F47</f>
        <v>0</v>
      </c>
    </row>
    <row r="50" spans="1:7" ht="12" thickBot="1"/>
    <row r="51" spans="1:7" ht="15" customHeight="1" thickBot="1">
      <c r="A51" s="387" t="s">
        <v>293</v>
      </c>
      <c r="B51" s="388"/>
      <c r="C51" s="388"/>
      <c r="D51" s="388"/>
      <c r="E51" s="389"/>
    </row>
    <row r="52" spans="1:7" ht="15" customHeight="1" thickBot="1">
      <c r="A52" s="384" t="s">
        <v>294</v>
      </c>
      <c r="B52" s="385"/>
      <c r="C52" s="385"/>
      <c r="D52" s="386"/>
      <c r="E52" s="262" t="s">
        <v>295</v>
      </c>
    </row>
    <row r="53" spans="1:7" ht="15" customHeight="1">
      <c r="A53" s="296" t="str">
        <f>+A67</f>
        <v>1.1. Coletor Turno Integral Dia</v>
      </c>
      <c r="B53" s="164"/>
      <c r="C53" s="164"/>
      <c r="D53" s="181"/>
      <c r="E53" s="182">
        <f>C74</f>
        <v>0</v>
      </c>
    </row>
    <row r="54" spans="1:7" ht="15" customHeight="1">
      <c r="A54" s="322" t="str">
        <f>+A77</f>
        <v>1.2. Coletor Turno Parcial Dia</v>
      </c>
      <c r="B54" s="323"/>
      <c r="C54" s="323"/>
      <c r="D54" s="324"/>
      <c r="E54" s="325">
        <f>C84</f>
        <v>0</v>
      </c>
    </row>
    <row r="55" spans="1:7" ht="15" customHeight="1">
      <c r="A55" s="289" t="str">
        <f>+A87</f>
        <v>1.3. Motorista Turno Integral Dia</v>
      </c>
      <c r="B55" s="172"/>
      <c r="C55" s="172"/>
      <c r="D55" s="183"/>
      <c r="E55" s="184">
        <f>C96</f>
        <v>0</v>
      </c>
    </row>
    <row r="56" spans="1:7" ht="15" customHeight="1">
      <c r="A56" s="289" t="str">
        <f>+A99</f>
        <v>1.4. Motorista Turno Parcial Dia</v>
      </c>
      <c r="B56" s="172"/>
      <c r="C56" s="172"/>
      <c r="D56" s="183"/>
      <c r="E56" s="184">
        <f>C108</f>
        <v>0</v>
      </c>
    </row>
    <row r="57" spans="1:7" ht="15" customHeight="1" thickBot="1">
      <c r="A57" s="185" t="s">
        <v>44</v>
      </c>
      <c r="B57" s="186"/>
      <c r="C57" s="186"/>
      <c r="D57" s="187"/>
      <c r="E57" s="188">
        <f>SUM(E53:E56)</f>
        <v>0</v>
      </c>
    </row>
    <row r="58" spans="1:7" ht="15" customHeight="1" thickBot="1">
      <c r="A58" s="189"/>
      <c r="B58" s="190"/>
      <c r="C58" s="191"/>
      <c r="D58" s="191"/>
      <c r="E58" s="192"/>
    </row>
    <row r="59" spans="1:7" ht="15" customHeight="1">
      <c r="A59" s="379" t="s">
        <v>296</v>
      </c>
      <c r="B59" s="380"/>
      <c r="C59" s="380"/>
      <c r="D59" s="381"/>
      <c r="E59" s="262" t="s">
        <v>295</v>
      </c>
      <c r="F59" s="2"/>
    </row>
    <row r="60" spans="1:7" ht="15" customHeight="1" thickBot="1">
      <c r="A60" s="297" t="str">
        <f>+A189</f>
        <v>3.1. Veículo ______________________ m³</v>
      </c>
      <c r="B60" s="193"/>
      <c r="C60" s="193"/>
      <c r="D60" s="194"/>
      <c r="E60" s="195">
        <f>C203</f>
        <v>0</v>
      </c>
      <c r="F60" s="2"/>
    </row>
    <row r="61" spans="1:7" ht="15" customHeight="1">
      <c r="A61" s="191"/>
      <c r="B61" s="191"/>
      <c r="C61" s="191"/>
      <c r="D61" s="3"/>
      <c r="E61" s="196"/>
      <c r="F61" s="2"/>
    </row>
    <row r="62" spans="1:7" ht="12" thickBot="1">
      <c r="A62" s="191"/>
      <c r="B62" s="191"/>
      <c r="C62" s="191"/>
      <c r="D62" s="3"/>
      <c r="E62" s="197"/>
      <c r="F62" s="2"/>
    </row>
    <row r="63" spans="1:7" s="39" customFormat="1" ht="15.75" customHeight="1" thickBot="1">
      <c r="A63" s="198" t="s">
        <v>331</v>
      </c>
      <c r="B63" s="304"/>
      <c r="C63" s="199"/>
      <c r="D63" s="200"/>
      <c r="E63" s="201"/>
      <c r="G63" s="171"/>
    </row>
    <row r="64" spans="1:7" s="39" customFormat="1" ht="15.75" customHeight="1" thickBot="1">
      <c r="A64" s="198" t="s">
        <v>332</v>
      </c>
      <c r="B64" s="304"/>
      <c r="C64" s="199"/>
      <c r="D64" s="200"/>
      <c r="E64" s="201"/>
      <c r="G64" s="171"/>
    </row>
    <row r="65" spans="1:6" ht="15.75" customHeight="1">
      <c r="A65" s="191"/>
      <c r="B65" s="191"/>
      <c r="C65" s="191"/>
      <c r="D65" s="3"/>
      <c r="E65" s="197"/>
      <c r="F65" s="2"/>
    </row>
    <row r="66" spans="1:6" ht="13.15" customHeight="1">
      <c r="A66" s="39" t="s">
        <v>297</v>
      </c>
    </row>
    <row r="67" spans="1:6" ht="13.9" customHeight="1" thickBot="1">
      <c r="A67" s="252" t="s">
        <v>337</v>
      </c>
    </row>
    <row r="68" spans="1:6" ht="13.9" customHeight="1" thickBot="1">
      <c r="A68" s="202" t="s">
        <v>298</v>
      </c>
      <c r="B68" s="203" t="s">
        <v>299</v>
      </c>
      <c r="C68" s="203" t="s">
        <v>295</v>
      </c>
      <c r="D68" s="204" t="s">
        <v>300</v>
      </c>
      <c r="E68" s="204" t="s">
        <v>301</v>
      </c>
      <c r="F68" s="205" t="s">
        <v>302</v>
      </c>
    </row>
    <row r="69" spans="1:6" ht="13.15" customHeight="1">
      <c r="A69" s="305" t="s">
        <v>314</v>
      </c>
      <c r="B69" s="207" t="s">
        <v>6</v>
      </c>
      <c r="C69" s="207">
        <v>1</v>
      </c>
      <c r="D69" s="264"/>
      <c r="E69" s="264">
        <f>C69*D69</f>
        <v>0</v>
      </c>
    </row>
    <row r="70" spans="1:6">
      <c r="A70" s="209" t="s">
        <v>0</v>
      </c>
      <c r="B70" s="210" t="s">
        <v>1</v>
      </c>
      <c r="C70" s="210">
        <v>40</v>
      </c>
      <c r="D70" s="265">
        <f>SUM(E69:E69)</f>
        <v>0</v>
      </c>
      <c r="E70" s="266">
        <f>C70*D70/100</f>
        <v>0</v>
      </c>
    </row>
    <row r="71" spans="1:6">
      <c r="A71" s="213" t="s">
        <v>2</v>
      </c>
      <c r="B71" s="214"/>
      <c r="C71" s="214"/>
      <c r="D71" s="215"/>
      <c r="E71" s="216">
        <f>SUM(E69:E70)</f>
        <v>0</v>
      </c>
    </row>
    <row r="72" spans="1:6">
      <c r="A72" s="209" t="s">
        <v>3</v>
      </c>
      <c r="B72" s="210" t="s">
        <v>1</v>
      </c>
      <c r="C72" s="212">
        <f>'2.Encargos Sociais'!$C$31*100</f>
        <v>72.231660000000005</v>
      </c>
      <c r="D72" s="266">
        <f>E71</f>
        <v>0</v>
      </c>
      <c r="E72" s="266">
        <f>D72*C72/100</f>
        <v>0</v>
      </c>
    </row>
    <row r="73" spans="1:6">
      <c r="A73" s="213" t="s">
        <v>53</v>
      </c>
      <c r="B73" s="214"/>
      <c r="C73" s="214"/>
      <c r="D73" s="215"/>
      <c r="E73" s="267">
        <f>E71+E72</f>
        <v>0</v>
      </c>
    </row>
    <row r="74" spans="1:6" ht="12" thickBot="1">
      <c r="A74" s="209" t="s">
        <v>4</v>
      </c>
      <c r="B74" s="210" t="s">
        <v>5</v>
      </c>
      <c r="C74" s="303"/>
      <c r="D74" s="266">
        <f>E73</f>
        <v>0</v>
      </c>
      <c r="E74" s="266">
        <f>C74*D74</f>
        <v>0</v>
      </c>
    </row>
    <row r="75" spans="1:6" ht="13.9" customHeight="1" thickBot="1">
      <c r="D75" s="217" t="s">
        <v>156</v>
      </c>
      <c r="E75" s="279">
        <f>$B$63</f>
        <v>0</v>
      </c>
      <c r="F75" s="268">
        <f>E74*E75</f>
        <v>0</v>
      </c>
    </row>
    <row r="76" spans="1:6" ht="13.9" customHeight="1">
      <c r="D76" s="217"/>
      <c r="E76" s="161"/>
      <c r="F76" s="321"/>
    </row>
    <row r="77" spans="1:6" ht="13.9" customHeight="1" thickBot="1">
      <c r="A77" s="252" t="s">
        <v>338</v>
      </c>
    </row>
    <row r="78" spans="1:6" ht="13.9" customHeight="1" thickBot="1">
      <c r="A78" s="202" t="s">
        <v>298</v>
      </c>
      <c r="B78" s="203" t="s">
        <v>299</v>
      </c>
      <c r="C78" s="203" t="s">
        <v>295</v>
      </c>
      <c r="D78" s="204" t="s">
        <v>300</v>
      </c>
      <c r="E78" s="204" t="s">
        <v>301</v>
      </c>
      <c r="F78" s="205" t="s">
        <v>302</v>
      </c>
    </row>
    <row r="79" spans="1:6" ht="13.9" customHeight="1">
      <c r="A79" s="305" t="s">
        <v>314</v>
      </c>
      <c r="B79" s="207" t="s">
        <v>6</v>
      </c>
      <c r="C79" s="207">
        <v>1</v>
      </c>
      <c r="D79" s="264"/>
      <c r="E79" s="264">
        <f>C79*D79</f>
        <v>0</v>
      </c>
    </row>
    <row r="80" spans="1:6" ht="13.9" customHeight="1">
      <c r="A80" s="209" t="s">
        <v>0</v>
      </c>
      <c r="B80" s="210" t="s">
        <v>1</v>
      </c>
      <c r="C80" s="210">
        <v>40</v>
      </c>
      <c r="D80" s="265">
        <f>SUM(E79:E79)</f>
        <v>0</v>
      </c>
      <c r="E80" s="266">
        <f>C80*D80/100</f>
        <v>0</v>
      </c>
    </row>
    <row r="81" spans="1:7" ht="13.9" customHeight="1">
      <c r="A81" s="213" t="s">
        <v>2</v>
      </c>
      <c r="B81" s="214"/>
      <c r="C81" s="214"/>
      <c r="D81" s="215"/>
      <c r="E81" s="216">
        <f>SUM(E79:E80)</f>
        <v>0</v>
      </c>
    </row>
    <row r="82" spans="1:7" ht="13.9" customHeight="1">
      <c r="A82" s="209" t="s">
        <v>3</v>
      </c>
      <c r="B82" s="210" t="s">
        <v>1</v>
      </c>
      <c r="C82" s="212">
        <f>'2.Encargos Sociais'!$C$31*100</f>
        <v>72.231660000000005</v>
      </c>
      <c r="D82" s="266">
        <f>E81</f>
        <v>0</v>
      </c>
      <c r="E82" s="266">
        <f>D82*C82/100</f>
        <v>0</v>
      </c>
    </row>
    <row r="83" spans="1:7" ht="13.9" customHeight="1">
      <c r="A83" s="213" t="s">
        <v>53</v>
      </c>
      <c r="B83" s="214"/>
      <c r="C83" s="214"/>
      <c r="D83" s="215"/>
      <c r="E83" s="267">
        <f>E81+E82</f>
        <v>0</v>
      </c>
    </row>
    <row r="84" spans="1:7" ht="13.9" customHeight="1" thickBot="1">
      <c r="A84" s="209" t="s">
        <v>4</v>
      </c>
      <c r="B84" s="210" t="s">
        <v>5</v>
      </c>
      <c r="C84" s="319"/>
      <c r="D84" s="266">
        <f>E83</f>
        <v>0</v>
      </c>
      <c r="E84" s="266">
        <f>C84*D84</f>
        <v>0</v>
      </c>
    </row>
    <row r="85" spans="1:7" ht="13.9" customHeight="1" thickBot="1">
      <c r="D85" s="217" t="s">
        <v>156</v>
      </c>
      <c r="E85" s="279">
        <f>B64</f>
        <v>0</v>
      </c>
      <c r="F85" s="268">
        <f>E84*E85</f>
        <v>0</v>
      </c>
    </row>
    <row r="86" spans="1:7" ht="11.25" customHeight="1"/>
    <row r="87" spans="1:7" ht="12" thickBot="1">
      <c r="A87" s="2" t="s">
        <v>339</v>
      </c>
    </row>
    <row r="88" spans="1:7" ht="13.15" customHeight="1" thickBot="1">
      <c r="A88" s="202" t="s">
        <v>298</v>
      </c>
      <c r="B88" s="203" t="s">
        <v>299</v>
      </c>
      <c r="C88" s="203" t="s">
        <v>295</v>
      </c>
      <c r="D88" s="204" t="s">
        <v>300</v>
      </c>
      <c r="E88" s="204" t="s">
        <v>301</v>
      </c>
      <c r="F88" s="205" t="s">
        <v>302</v>
      </c>
    </row>
    <row r="89" spans="1:7">
      <c r="A89" s="206" t="s">
        <v>216</v>
      </c>
      <c r="B89" s="207" t="s">
        <v>6</v>
      </c>
      <c r="C89" s="207">
        <v>1</v>
      </c>
      <c r="D89" s="264"/>
      <c r="E89" s="263">
        <f>C89*D89</f>
        <v>0</v>
      </c>
    </row>
    <row r="90" spans="1:7">
      <c r="A90" s="206" t="s">
        <v>217</v>
      </c>
      <c r="B90" s="207" t="s">
        <v>6</v>
      </c>
      <c r="C90" s="207">
        <v>1</v>
      </c>
      <c r="D90" s="264"/>
      <c r="E90" s="208"/>
    </row>
    <row r="91" spans="1:7">
      <c r="A91" s="209" t="s">
        <v>163</v>
      </c>
      <c r="B91" s="210"/>
      <c r="C91" s="232"/>
      <c r="D91" s="211"/>
      <c r="E91" s="211"/>
    </row>
    <row r="92" spans="1:7">
      <c r="A92" s="209" t="s">
        <v>0</v>
      </c>
      <c r="B92" s="210" t="s">
        <v>1</v>
      </c>
      <c r="C92" s="306"/>
      <c r="D92" s="265">
        <f>IF(C91=2,SUM(E89:E90),IF(C91=1,(SUM(E89:E90))*D90/D89,0))</f>
        <v>0</v>
      </c>
      <c r="E92" s="266">
        <f>C92*D92/100</f>
        <v>0</v>
      </c>
    </row>
    <row r="93" spans="1:7" s="39" customFormat="1">
      <c r="A93" s="219" t="s">
        <v>2</v>
      </c>
      <c r="B93" s="214"/>
      <c r="C93" s="214"/>
      <c r="D93" s="215"/>
      <c r="E93" s="269">
        <f>SUM(E89:E92)</f>
        <v>0</v>
      </c>
      <c r="F93" s="171"/>
      <c r="G93" s="171"/>
    </row>
    <row r="94" spans="1:7">
      <c r="A94" s="209" t="s">
        <v>3</v>
      </c>
      <c r="B94" s="210" t="s">
        <v>1</v>
      </c>
      <c r="C94" s="212">
        <f>'2.Encargos Sociais'!$C$31*100</f>
        <v>72.231660000000005</v>
      </c>
      <c r="D94" s="266">
        <f>E93</f>
        <v>0</v>
      </c>
      <c r="E94" s="266">
        <f>D94*C94/100</f>
        <v>0</v>
      </c>
    </row>
    <row r="95" spans="1:7" s="39" customFormat="1">
      <c r="A95" s="219" t="s">
        <v>189</v>
      </c>
      <c r="B95" s="220"/>
      <c r="C95" s="220"/>
      <c r="D95" s="221"/>
      <c r="E95" s="269">
        <f>E93+E94</f>
        <v>0</v>
      </c>
      <c r="F95" s="171"/>
      <c r="G95" s="171"/>
    </row>
    <row r="96" spans="1:7" ht="12" thickBot="1">
      <c r="A96" s="209" t="s">
        <v>4</v>
      </c>
      <c r="B96" s="210" t="s">
        <v>5</v>
      </c>
      <c r="C96" s="303"/>
      <c r="D96" s="266">
        <f>E95</f>
        <v>0</v>
      </c>
      <c r="E96" s="266">
        <f>C96*D96</f>
        <v>0</v>
      </c>
    </row>
    <row r="97" spans="1:7" ht="12" thickBot="1">
      <c r="D97" s="217" t="s">
        <v>156</v>
      </c>
      <c r="E97" s="218">
        <f>$B$63</f>
        <v>0</v>
      </c>
      <c r="F97" s="268">
        <f>E96*E97</f>
        <v>0</v>
      </c>
    </row>
    <row r="98" spans="1:7">
      <c r="D98" s="217"/>
      <c r="E98" s="191"/>
      <c r="F98" s="321"/>
    </row>
    <row r="99" spans="1:7" ht="12" thickBot="1">
      <c r="A99" s="2" t="s">
        <v>340</v>
      </c>
    </row>
    <row r="100" spans="1:7" ht="12" thickBot="1">
      <c r="A100" s="202" t="s">
        <v>298</v>
      </c>
      <c r="B100" s="203" t="s">
        <v>299</v>
      </c>
      <c r="C100" s="203" t="s">
        <v>295</v>
      </c>
      <c r="D100" s="204" t="s">
        <v>300</v>
      </c>
      <c r="E100" s="204" t="s">
        <v>301</v>
      </c>
      <c r="F100" s="205" t="s">
        <v>302</v>
      </c>
    </row>
    <row r="101" spans="1:7">
      <c r="A101" s="206" t="s">
        <v>216</v>
      </c>
      <c r="B101" s="207" t="s">
        <v>6</v>
      </c>
      <c r="C101" s="207">
        <v>1</v>
      </c>
      <c r="D101" s="264"/>
      <c r="E101" s="263">
        <f>C101*D101</f>
        <v>0</v>
      </c>
    </row>
    <row r="102" spans="1:7">
      <c r="A102" s="206" t="s">
        <v>217</v>
      </c>
      <c r="B102" s="207" t="s">
        <v>6</v>
      </c>
      <c r="C102" s="207">
        <v>1</v>
      </c>
      <c r="D102" s="264"/>
      <c r="E102" s="208"/>
    </row>
    <row r="103" spans="1:7">
      <c r="A103" s="209" t="s">
        <v>163</v>
      </c>
      <c r="B103" s="210"/>
      <c r="C103" s="232"/>
      <c r="D103" s="211"/>
      <c r="E103" s="211"/>
    </row>
    <row r="104" spans="1:7">
      <c r="A104" s="209" t="s">
        <v>0</v>
      </c>
      <c r="B104" s="210" t="s">
        <v>1</v>
      </c>
      <c r="C104" s="319"/>
      <c r="D104" s="265">
        <f>IF(C103=2,SUM(E101:E102),IF(C103=1,(SUM(E101:E102))*D102/D101,0))</f>
        <v>0</v>
      </c>
      <c r="E104" s="266">
        <f>C104*D104/100</f>
        <v>0</v>
      </c>
    </row>
    <row r="105" spans="1:7">
      <c r="A105" s="219" t="s">
        <v>2</v>
      </c>
      <c r="B105" s="214"/>
      <c r="C105" s="214"/>
      <c r="D105" s="215"/>
      <c r="E105" s="269">
        <f>SUM(E101:E104)</f>
        <v>0</v>
      </c>
      <c r="F105" s="171"/>
    </row>
    <row r="106" spans="1:7">
      <c r="A106" s="209" t="s">
        <v>3</v>
      </c>
      <c r="B106" s="210" t="s">
        <v>1</v>
      </c>
      <c r="C106" s="212">
        <f>'2.Encargos Sociais'!$C$31*100</f>
        <v>72.231660000000005</v>
      </c>
      <c r="D106" s="266">
        <f>E105</f>
        <v>0</v>
      </c>
      <c r="E106" s="266">
        <f>D106*C106/100</f>
        <v>0</v>
      </c>
    </row>
    <row r="107" spans="1:7">
      <c r="A107" s="219" t="s">
        <v>189</v>
      </c>
      <c r="B107" s="220"/>
      <c r="C107" s="220"/>
      <c r="D107" s="221"/>
      <c r="E107" s="269">
        <f>E105+E106</f>
        <v>0</v>
      </c>
      <c r="F107" s="171"/>
    </row>
    <row r="108" spans="1:7" ht="12" thickBot="1">
      <c r="A108" s="209" t="s">
        <v>4</v>
      </c>
      <c r="B108" s="210" t="s">
        <v>5</v>
      </c>
      <c r="C108" s="319"/>
      <c r="D108" s="266">
        <f>E107</f>
        <v>0</v>
      </c>
      <c r="E108" s="266">
        <f>C108*D108</f>
        <v>0</v>
      </c>
    </row>
    <row r="109" spans="1:7" ht="12" thickBot="1">
      <c r="D109" s="217" t="s">
        <v>156</v>
      </c>
      <c r="E109" s="218">
        <f>B64</f>
        <v>0</v>
      </c>
      <c r="F109" s="268">
        <f>E108*E109</f>
        <v>0</v>
      </c>
      <c r="G109" s="251"/>
    </row>
    <row r="110" spans="1:7" ht="11.25" customHeight="1">
      <c r="G110" s="2"/>
    </row>
    <row r="111" spans="1:7" ht="12" thickBot="1">
      <c r="A111" s="252" t="s">
        <v>341</v>
      </c>
      <c r="B111" s="222"/>
      <c r="D111" s="2"/>
      <c r="E111" s="2"/>
      <c r="G111" s="2"/>
    </row>
    <row r="112" spans="1:7" ht="12" thickBot="1">
      <c r="A112" s="202" t="s">
        <v>298</v>
      </c>
      <c r="B112" s="203" t="s">
        <v>299</v>
      </c>
      <c r="C112" s="203" t="s">
        <v>295</v>
      </c>
      <c r="D112" s="204" t="s">
        <v>300</v>
      </c>
      <c r="E112" s="204" t="s">
        <v>301</v>
      </c>
      <c r="F112" s="205" t="s">
        <v>302</v>
      </c>
      <c r="G112" s="2"/>
    </row>
    <row r="113" spans="1:7">
      <c r="A113" s="307" t="s">
        <v>68</v>
      </c>
      <c r="B113" s="210" t="s">
        <v>30</v>
      </c>
      <c r="C113" s="285">
        <v>1</v>
      </c>
      <c r="D113" s="310"/>
      <c r="E113" s="211"/>
      <c r="G113" s="2"/>
    </row>
    <row r="114" spans="1:7">
      <c r="A114" s="209" t="s">
        <v>69</v>
      </c>
      <c r="B114" s="210" t="s">
        <v>70</v>
      </c>
      <c r="C114" s="252"/>
      <c r="D114" s="211"/>
      <c r="E114" s="211"/>
      <c r="G114" s="2"/>
    </row>
    <row r="115" spans="1:7">
      <c r="A115" s="307" t="s">
        <v>333</v>
      </c>
      <c r="B115" s="210" t="s">
        <v>7</v>
      </c>
      <c r="C115" s="224">
        <f>$C$114*2*C74</f>
        <v>0</v>
      </c>
      <c r="D115" s="263" t="str">
        <f>IFERROR((($C$114*2*$D$113)-(E69*0.06*C114/26))/($C$114*2),"-")</f>
        <v>-</v>
      </c>
      <c r="E115" s="211" t="str">
        <f>IFERROR(C115*D115,"-")</f>
        <v>-</v>
      </c>
      <c r="G115" s="2"/>
    </row>
    <row r="116" spans="1:7">
      <c r="A116" s="314" t="s">
        <v>334</v>
      </c>
      <c r="B116" s="210" t="s">
        <v>7</v>
      </c>
      <c r="C116" s="224">
        <f>$C$114*2*C84</f>
        <v>0</v>
      </c>
      <c r="D116" s="263" t="str">
        <f>IFERROR((($C$114*2*$D$113)-(E79*0.06*C114/26))/($C$114*2),"-")</f>
        <v>-</v>
      </c>
      <c r="E116" s="211" t="str">
        <f>IFERROR(C116*D116,"-")</f>
        <v>-</v>
      </c>
      <c r="G116" s="2"/>
    </row>
    <row r="117" spans="1:7">
      <c r="A117" s="314" t="s">
        <v>335</v>
      </c>
      <c r="B117" s="207" t="s">
        <v>7</v>
      </c>
      <c r="C117" s="224">
        <f>$C$114*2*C96</f>
        <v>0</v>
      </c>
      <c r="D117" s="263" t="str">
        <f>IFERROR((($C$114*2*$D$113)-(E89*0.06*C114/26))/($C$114*2),"-")</f>
        <v>-</v>
      </c>
      <c r="E117" s="211" t="str">
        <f>IFERROR(C117*D117,"-")</f>
        <v>-</v>
      </c>
      <c r="G117" s="2"/>
    </row>
    <row r="118" spans="1:7" ht="12" thickBot="1">
      <c r="A118" s="314" t="s">
        <v>336</v>
      </c>
      <c r="B118" s="210" t="s">
        <v>7</v>
      </c>
      <c r="C118" s="224">
        <f>$C$114*2*C108</f>
        <v>0</v>
      </c>
      <c r="D118" s="263" t="str">
        <f>IFERROR((($C$114*2*$D$113)-(E101*0.06*C114/26))/($C$114*2),"-")</f>
        <v>-</v>
      </c>
      <c r="E118" s="211" t="str">
        <f>IFERROR(C118*D118,"-")</f>
        <v>-</v>
      </c>
      <c r="G118" s="2"/>
    </row>
    <row r="119" spans="1:7" ht="12" thickBot="1">
      <c r="F119" s="270">
        <f>SUM(E115:E118)</f>
        <v>0</v>
      </c>
      <c r="G119" s="2"/>
    </row>
    <row r="120" spans="1:7" ht="11.25" customHeight="1">
      <c r="G120" s="2"/>
    </row>
    <row r="121" spans="1:7" ht="12" thickBot="1">
      <c r="A121" s="308" t="s">
        <v>342</v>
      </c>
      <c r="F121" s="226"/>
      <c r="G121" s="2"/>
    </row>
    <row r="122" spans="1:7" ht="12" thickBot="1">
      <c r="A122" s="202" t="s">
        <v>298</v>
      </c>
      <c r="B122" s="203" t="s">
        <v>299</v>
      </c>
      <c r="C122" s="203" t="s">
        <v>295</v>
      </c>
      <c r="D122" s="204" t="s">
        <v>300</v>
      </c>
      <c r="E122" s="204" t="s">
        <v>301</v>
      </c>
      <c r="F122" s="205" t="s">
        <v>302</v>
      </c>
      <c r="G122" s="2"/>
    </row>
    <row r="123" spans="1:7">
      <c r="A123" s="209" t="str">
        <f>A115</f>
        <v>Coletor Turno Integral Dia</v>
      </c>
      <c r="B123" s="210" t="s">
        <v>8</v>
      </c>
      <c r="C123" s="227">
        <f>$C$114*C74</f>
        <v>0</v>
      </c>
      <c r="D123" s="271"/>
      <c r="E123" s="272">
        <f>C123*D123</f>
        <v>0</v>
      </c>
      <c r="F123" s="226"/>
      <c r="G123" s="2"/>
    </row>
    <row r="124" spans="1:7">
      <c r="A124" s="209" t="str">
        <f>A116</f>
        <v>Coletor Turno Parcial Dia</v>
      </c>
      <c r="B124" s="210" t="s">
        <v>8</v>
      </c>
      <c r="C124" s="227">
        <f>$C$114*C84</f>
        <v>0</v>
      </c>
      <c r="D124" s="271"/>
      <c r="E124" s="272">
        <f>C124*D124</f>
        <v>0</v>
      </c>
      <c r="F124" s="226"/>
      <c r="G124" s="2"/>
    </row>
    <row r="125" spans="1:7">
      <c r="A125" s="307" t="str">
        <f>+A117</f>
        <v>Motorista Turno Integral Dia</v>
      </c>
      <c r="B125" s="210" t="s">
        <v>8</v>
      </c>
      <c r="C125" s="227">
        <f>$C$114*C96</f>
        <v>0</v>
      </c>
      <c r="D125" s="271"/>
      <c r="E125" s="272">
        <f>C125*D125</f>
        <v>0</v>
      </c>
      <c r="F125" s="226"/>
      <c r="G125" s="2"/>
    </row>
    <row r="126" spans="1:7" ht="12" thickBot="1">
      <c r="A126" s="209" t="str">
        <f>A118</f>
        <v>Motorista Turno Parcial Dia</v>
      </c>
      <c r="B126" s="210" t="s">
        <v>8</v>
      </c>
      <c r="C126" s="227">
        <f>$C$114*C108</f>
        <v>0</v>
      </c>
      <c r="D126" s="271"/>
      <c r="E126" s="272">
        <f>C126*D126</f>
        <v>0</v>
      </c>
      <c r="F126" s="226"/>
      <c r="G126" s="2"/>
    </row>
    <row r="127" spans="1:7" ht="12" thickBot="1">
      <c r="F127" s="270">
        <f>SUM(E123:E126)</f>
        <v>0</v>
      </c>
      <c r="G127" s="2"/>
    </row>
    <row r="128" spans="1:7">
      <c r="F128" s="273"/>
      <c r="G128" s="2"/>
    </row>
    <row r="129" spans="1:15" ht="12" thickBot="1">
      <c r="A129" s="308" t="s">
        <v>343</v>
      </c>
      <c r="F129" s="226"/>
      <c r="G129" s="2"/>
    </row>
    <row r="130" spans="1:15" ht="12" thickBot="1">
      <c r="A130" s="202" t="s">
        <v>298</v>
      </c>
      <c r="B130" s="203" t="s">
        <v>299</v>
      </c>
      <c r="C130" s="203" t="s">
        <v>295</v>
      </c>
      <c r="D130" s="204" t="s">
        <v>300</v>
      </c>
      <c r="E130" s="204" t="s">
        <v>301</v>
      </c>
      <c r="F130" s="205" t="s">
        <v>302</v>
      </c>
      <c r="G130" s="2"/>
    </row>
    <row r="131" spans="1:15">
      <c r="A131" s="209" t="str">
        <f>A115</f>
        <v>Coletor Turno Integral Dia</v>
      </c>
      <c r="B131" s="210" t="s">
        <v>8</v>
      </c>
      <c r="C131" s="227">
        <f>C114*E53</f>
        <v>0</v>
      </c>
      <c r="D131" s="271"/>
      <c r="E131" s="272">
        <f>C131*D131</f>
        <v>0</v>
      </c>
      <c r="F131" s="226"/>
      <c r="G131" s="2"/>
    </row>
    <row r="132" spans="1:15">
      <c r="A132" s="209" t="str">
        <f>A116</f>
        <v>Coletor Turno Parcial Dia</v>
      </c>
      <c r="B132" s="210" t="s">
        <v>8</v>
      </c>
      <c r="C132" s="227">
        <f>C114*E54</f>
        <v>0</v>
      </c>
      <c r="D132" s="271"/>
      <c r="E132" s="272">
        <f>C132*D132</f>
        <v>0</v>
      </c>
      <c r="F132" s="226"/>
      <c r="G132" s="2"/>
    </row>
    <row r="133" spans="1:15">
      <c r="A133" s="307" t="str">
        <f>+A125</f>
        <v>Motorista Turno Integral Dia</v>
      </c>
      <c r="B133" s="210" t="s">
        <v>8</v>
      </c>
      <c r="C133" s="227">
        <f>C114*E55</f>
        <v>0</v>
      </c>
      <c r="D133" s="271"/>
      <c r="E133" s="272">
        <f>C133*D133</f>
        <v>0</v>
      </c>
      <c r="F133" s="226"/>
      <c r="G133" s="2"/>
    </row>
    <row r="134" spans="1:15" ht="12" thickBot="1">
      <c r="A134" s="307" t="str">
        <f>A118</f>
        <v>Motorista Turno Parcial Dia</v>
      </c>
      <c r="B134" s="210" t="s">
        <v>8</v>
      </c>
      <c r="C134" s="227">
        <f>C114*E56</f>
        <v>0</v>
      </c>
      <c r="D134" s="271"/>
      <c r="E134" s="272">
        <f>C134*D134</f>
        <v>0</v>
      </c>
      <c r="F134" s="226"/>
      <c r="G134" s="2"/>
    </row>
    <row r="135" spans="1:15" ht="12" thickBot="1">
      <c r="F135" s="270">
        <f>SUM(E131:E134)</f>
        <v>0</v>
      </c>
      <c r="G135" s="2"/>
      <c r="I135" s="3"/>
      <c r="J135" s="3"/>
      <c r="K135" s="3"/>
      <c r="L135" s="3"/>
      <c r="M135" s="3"/>
      <c r="N135" s="3"/>
      <c r="O135" s="3"/>
    </row>
    <row r="136" spans="1:15">
      <c r="G136" s="2"/>
      <c r="I136" s="3"/>
      <c r="J136" s="3"/>
      <c r="K136" s="3"/>
      <c r="L136" s="3"/>
      <c r="M136" s="3"/>
      <c r="N136" s="3"/>
      <c r="O136" s="3"/>
    </row>
    <row r="137" spans="1:15" ht="12" thickBot="1">
      <c r="A137" s="2" t="s">
        <v>344</v>
      </c>
      <c r="F137" s="226"/>
      <c r="G137" s="2"/>
      <c r="I137" s="3"/>
      <c r="J137" s="3"/>
      <c r="K137" s="3"/>
      <c r="L137" s="3"/>
      <c r="M137" s="3"/>
      <c r="N137" s="3"/>
      <c r="O137" s="3"/>
    </row>
    <row r="138" spans="1:15" ht="12" thickBot="1">
      <c r="A138" s="202" t="s">
        <v>298</v>
      </c>
      <c r="B138" s="203" t="s">
        <v>299</v>
      </c>
      <c r="C138" s="203" t="s">
        <v>295</v>
      </c>
      <c r="D138" s="204" t="s">
        <v>300</v>
      </c>
      <c r="E138" s="204" t="s">
        <v>301</v>
      </c>
      <c r="F138" s="205" t="s">
        <v>302</v>
      </c>
      <c r="G138" s="2"/>
      <c r="I138" s="358"/>
      <c r="J138" s="358"/>
      <c r="K138" s="358"/>
      <c r="L138" s="359"/>
      <c r="M138" s="359"/>
      <c r="N138" s="359"/>
      <c r="O138" s="3"/>
    </row>
    <row r="139" spans="1:15">
      <c r="A139" s="314" t="str">
        <f>A115</f>
        <v>Coletor Turno Integral Dia</v>
      </c>
      <c r="B139" s="239" t="s">
        <v>8</v>
      </c>
      <c r="C139" s="227">
        <f>E53</f>
        <v>0</v>
      </c>
      <c r="D139" s="326" t="s">
        <v>303</v>
      </c>
      <c r="E139" s="309" t="e">
        <f>C139*D139</f>
        <v>#VALUE!</v>
      </c>
      <c r="F139" s="226"/>
      <c r="G139" s="2"/>
      <c r="I139" s="3"/>
      <c r="J139" s="360"/>
      <c r="K139" s="361"/>
      <c r="L139" s="362"/>
      <c r="M139" s="363"/>
      <c r="N139" s="226"/>
      <c r="O139" s="3"/>
    </row>
    <row r="140" spans="1:15">
      <c r="A140" s="307" t="str">
        <f>A116</f>
        <v>Coletor Turno Parcial Dia</v>
      </c>
      <c r="B140" s="319" t="s">
        <v>8</v>
      </c>
      <c r="C140" s="227">
        <f>E54</f>
        <v>0</v>
      </c>
      <c r="D140" s="326" t="s">
        <v>303</v>
      </c>
      <c r="E140" s="309" t="e">
        <f>C140*D140</f>
        <v>#VALUE!</v>
      </c>
      <c r="F140" s="226"/>
      <c r="G140" s="2"/>
      <c r="I140" s="3"/>
      <c r="J140" s="364"/>
      <c r="K140" s="361"/>
      <c r="L140" s="362"/>
      <c r="M140" s="363"/>
      <c r="N140" s="226"/>
      <c r="O140" s="3"/>
    </row>
    <row r="141" spans="1:15">
      <c r="A141" s="307" t="str">
        <f>+A125</f>
        <v>Motorista Turno Integral Dia</v>
      </c>
      <c r="B141" s="319" t="s">
        <v>8</v>
      </c>
      <c r="C141" s="227">
        <f>E55</f>
        <v>0</v>
      </c>
      <c r="D141" s="265"/>
      <c r="E141" s="309">
        <f>C141*D141</f>
        <v>0</v>
      </c>
      <c r="F141" s="226"/>
      <c r="G141" s="2"/>
      <c r="I141" s="3"/>
      <c r="J141" s="364"/>
      <c r="K141" s="361"/>
      <c r="L141" s="362"/>
      <c r="M141" s="363"/>
      <c r="N141" s="226"/>
      <c r="O141" s="3"/>
    </row>
    <row r="142" spans="1:15" ht="12" thickBot="1">
      <c r="A142" s="307" t="str">
        <f>A118</f>
        <v>Motorista Turno Parcial Dia</v>
      </c>
      <c r="B142" s="319" t="s">
        <v>8</v>
      </c>
      <c r="C142" s="227">
        <f>E56</f>
        <v>0</v>
      </c>
      <c r="D142" s="265"/>
      <c r="E142" s="309">
        <f>C142*D142</f>
        <v>0</v>
      </c>
      <c r="F142" s="226"/>
      <c r="G142" s="2"/>
      <c r="I142" s="3"/>
      <c r="J142" s="364"/>
      <c r="K142" s="361"/>
      <c r="L142" s="362"/>
      <c r="M142" s="363"/>
      <c r="N142" s="226"/>
      <c r="O142" s="3"/>
    </row>
    <row r="143" spans="1:15" ht="12" thickBot="1">
      <c r="A143" s="3"/>
      <c r="B143" s="3"/>
      <c r="C143" s="3"/>
      <c r="D143" s="327"/>
      <c r="E143" s="191"/>
      <c r="F143" s="270" t="e">
        <f>SUM(E139:E142)</f>
        <v>#VALUE!</v>
      </c>
      <c r="G143" s="2"/>
      <c r="I143" s="3"/>
      <c r="J143" s="3"/>
      <c r="K143" s="3"/>
      <c r="L143" s="327"/>
      <c r="M143" s="191"/>
      <c r="N143" s="357"/>
      <c r="O143" s="3"/>
    </row>
    <row r="144" spans="1:15">
      <c r="D144" s="217"/>
      <c r="E144" s="191"/>
      <c r="F144" s="273"/>
      <c r="G144" s="2"/>
      <c r="I144" s="3"/>
      <c r="J144" s="3"/>
      <c r="K144" s="3"/>
      <c r="L144" s="3"/>
      <c r="M144" s="3"/>
      <c r="N144" s="3"/>
      <c r="O144" s="3"/>
    </row>
    <row r="145" spans="1:7" ht="12" thickBot="1">
      <c r="A145" s="2" t="s">
        <v>345</v>
      </c>
      <c r="F145" s="226"/>
      <c r="G145" s="2"/>
    </row>
    <row r="146" spans="1:7" ht="12" thickBot="1">
      <c r="A146" s="202" t="s">
        <v>298</v>
      </c>
      <c r="B146" s="203" t="s">
        <v>299</v>
      </c>
      <c r="C146" s="203" t="s">
        <v>295</v>
      </c>
      <c r="D146" s="204" t="s">
        <v>300</v>
      </c>
      <c r="E146" s="204" t="s">
        <v>301</v>
      </c>
      <c r="F146" s="205" t="s">
        <v>302</v>
      </c>
    </row>
    <row r="147" spans="1:7">
      <c r="A147" s="209" t="str">
        <f>A115</f>
        <v>Coletor Turno Integral Dia</v>
      </c>
      <c r="B147" s="210" t="s">
        <v>8</v>
      </c>
      <c r="C147" s="227">
        <f>E53*$C$114</f>
        <v>0</v>
      </c>
      <c r="D147" s="271"/>
      <c r="E147" s="272">
        <f>C147*D147</f>
        <v>0</v>
      </c>
      <c r="F147" s="226"/>
    </row>
    <row r="148" spans="1:7">
      <c r="A148" s="209" t="str">
        <f>A116</f>
        <v>Coletor Turno Parcial Dia</v>
      </c>
      <c r="B148" s="319" t="s">
        <v>8</v>
      </c>
      <c r="C148" s="227">
        <f>E54*$C$114</f>
        <v>0</v>
      </c>
      <c r="D148" s="265" t="s">
        <v>303</v>
      </c>
      <c r="E148" s="272" t="e">
        <f>C148*D148</f>
        <v>#VALUE!</v>
      </c>
      <c r="F148" s="226"/>
    </row>
    <row r="149" spans="1:7">
      <c r="A149" s="307" t="str">
        <f>+A141</f>
        <v>Motorista Turno Integral Dia</v>
      </c>
      <c r="B149" s="319" t="s">
        <v>8</v>
      </c>
      <c r="C149" s="227">
        <f>E55*$C$114</f>
        <v>0</v>
      </c>
      <c r="D149" s="265" t="s">
        <v>303</v>
      </c>
      <c r="E149" s="272" t="e">
        <f>C149*D149</f>
        <v>#VALUE!</v>
      </c>
      <c r="F149" s="226"/>
    </row>
    <row r="150" spans="1:7" ht="12" thickBot="1">
      <c r="A150" s="209" t="str">
        <f>A118</f>
        <v>Motorista Turno Parcial Dia</v>
      </c>
      <c r="B150" s="319" t="s">
        <v>8</v>
      </c>
      <c r="C150" s="227">
        <f>E56*$C$114</f>
        <v>0</v>
      </c>
      <c r="D150" s="265" t="s">
        <v>303</v>
      </c>
      <c r="E150" s="272" t="e">
        <f>C150*D150</f>
        <v>#VALUE!</v>
      </c>
      <c r="F150" s="226"/>
    </row>
    <row r="151" spans="1:7" ht="12" thickBot="1">
      <c r="D151" s="327"/>
      <c r="E151" s="191"/>
      <c r="F151" s="270" t="e">
        <f>SUM(E147:E150)</f>
        <v>#VALUE!</v>
      </c>
    </row>
    <row r="152" spans="1:7">
      <c r="D152" s="327"/>
      <c r="E152" s="191"/>
      <c r="F152" s="273"/>
    </row>
    <row r="153" spans="1:7" ht="12" thickBot="1">
      <c r="A153" s="2" t="s">
        <v>368</v>
      </c>
      <c r="F153" s="226"/>
    </row>
    <row r="154" spans="1:7" ht="12" thickBot="1">
      <c r="A154" s="202" t="s">
        <v>298</v>
      </c>
      <c r="B154" s="203" t="s">
        <v>299</v>
      </c>
      <c r="C154" s="203" t="s">
        <v>295</v>
      </c>
      <c r="D154" s="204" t="s">
        <v>300</v>
      </c>
      <c r="E154" s="204" t="s">
        <v>301</v>
      </c>
      <c r="F154" s="205" t="s">
        <v>302</v>
      </c>
    </row>
    <row r="155" spans="1:7">
      <c r="A155" s="209" t="str">
        <f>A123</f>
        <v>Coletor Turno Integral Dia</v>
      </c>
      <c r="B155" s="210" t="s">
        <v>8</v>
      </c>
      <c r="C155" s="227">
        <f>E53</f>
        <v>0</v>
      </c>
      <c r="D155" s="265"/>
      <c r="E155" s="272">
        <f>D155*C155</f>
        <v>0</v>
      </c>
      <c r="F155" s="226"/>
    </row>
    <row r="156" spans="1:7">
      <c r="A156" s="209" t="str">
        <f>A124</f>
        <v>Coletor Turno Parcial Dia</v>
      </c>
      <c r="B156" s="356" t="s">
        <v>8</v>
      </c>
      <c r="C156" s="227">
        <f>E54</f>
        <v>0</v>
      </c>
      <c r="D156" s="265"/>
      <c r="E156" s="272">
        <f>D156*C156</f>
        <v>0</v>
      </c>
      <c r="F156" s="226"/>
    </row>
    <row r="157" spans="1:7">
      <c r="A157" s="307" t="str">
        <f>+A149</f>
        <v>Motorista Turno Integral Dia</v>
      </c>
      <c r="B157" s="356" t="s">
        <v>8</v>
      </c>
      <c r="C157" s="227">
        <f>E55</f>
        <v>0</v>
      </c>
      <c r="D157" s="265"/>
      <c r="E157" s="272">
        <f>D157*C157</f>
        <v>0</v>
      </c>
      <c r="F157" s="226"/>
    </row>
    <row r="158" spans="1:7" ht="12" thickBot="1">
      <c r="A158" s="209" t="str">
        <f>A126</f>
        <v>Motorista Turno Parcial Dia</v>
      </c>
      <c r="B158" s="356" t="s">
        <v>8</v>
      </c>
      <c r="C158" s="227">
        <f>E56</f>
        <v>0</v>
      </c>
      <c r="D158" s="265"/>
      <c r="E158" s="272">
        <f>D158*C158</f>
        <v>0</v>
      </c>
      <c r="F158" s="226"/>
    </row>
    <row r="159" spans="1:7" ht="12" thickBot="1">
      <c r="D159" s="327"/>
      <c r="E159" s="191"/>
      <c r="F159" s="270">
        <f>SUM(E155:E158)</f>
        <v>0</v>
      </c>
    </row>
    <row r="160" spans="1:7" ht="12" thickBot="1"/>
    <row r="161" spans="1:8" ht="12" thickBot="1">
      <c r="A161" s="228" t="s">
        <v>71</v>
      </c>
      <c r="B161" s="229"/>
      <c r="C161" s="229"/>
      <c r="D161" s="178"/>
      <c r="E161" s="230"/>
      <c r="F161" s="225" t="e">
        <f>F75+F85+F97+F109+F119+F127+F143+F151+F135+N143+F159</f>
        <v>#VALUE!</v>
      </c>
    </row>
    <row r="163" spans="1:8">
      <c r="A163" s="39" t="s">
        <v>304</v>
      </c>
      <c r="G163" s="2"/>
      <c r="H163" s="241"/>
    </row>
    <row r="164" spans="1:8" ht="13.9" customHeight="1" thickBot="1">
      <c r="A164" s="2" t="s">
        <v>362</v>
      </c>
      <c r="G164" s="2"/>
    </row>
    <row r="165" spans="1:8" ht="27.75" customHeight="1" thickBot="1">
      <c r="A165" s="202" t="s">
        <v>298</v>
      </c>
      <c r="B165" s="203" t="s">
        <v>299</v>
      </c>
      <c r="C165" s="231" t="s">
        <v>305</v>
      </c>
      <c r="D165" s="204" t="s">
        <v>300</v>
      </c>
      <c r="E165" s="204" t="s">
        <v>301</v>
      </c>
      <c r="F165" s="205" t="s">
        <v>302</v>
      </c>
      <c r="G165" s="2"/>
    </row>
    <row r="166" spans="1:8" ht="13.15" customHeight="1">
      <c r="A166" s="209" t="s">
        <v>26</v>
      </c>
      <c r="B166" s="210" t="s">
        <v>8</v>
      </c>
      <c r="C166" s="274"/>
      <c r="D166" s="264"/>
      <c r="E166" s="263">
        <f t="shared" ref="E166:E172" si="1">IFERROR(D166/C166,0)</f>
        <v>0</v>
      </c>
      <c r="G166" s="2"/>
    </row>
    <row r="167" spans="1:8">
      <c r="A167" s="209" t="s">
        <v>27</v>
      </c>
      <c r="B167" s="210" t="s">
        <v>8</v>
      </c>
      <c r="C167" s="274"/>
      <c r="D167" s="264"/>
      <c r="E167" s="263">
        <f t="shared" si="1"/>
        <v>0</v>
      </c>
      <c r="G167" s="2"/>
    </row>
    <row r="168" spans="1:8" ht="13.15" customHeight="1">
      <c r="A168" s="209" t="s">
        <v>28</v>
      </c>
      <c r="B168" s="210" t="s">
        <v>8</v>
      </c>
      <c r="C168" s="274"/>
      <c r="D168" s="264"/>
      <c r="E168" s="263">
        <f t="shared" si="1"/>
        <v>0</v>
      </c>
      <c r="G168" s="2"/>
    </row>
    <row r="169" spans="1:8" ht="13.9" customHeight="1">
      <c r="A169" s="209" t="s">
        <v>50</v>
      </c>
      <c r="B169" s="210" t="s">
        <v>36</v>
      </c>
      <c r="C169" s="274"/>
      <c r="D169" s="264"/>
      <c r="E169" s="263">
        <f t="shared" si="1"/>
        <v>0</v>
      </c>
      <c r="G169" s="2"/>
    </row>
    <row r="170" spans="1:8">
      <c r="A170" s="209" t="s">
        <v>49</v>
      </c>
      <c r="B170" s="210" t="s">
        <v>8</v>
      </c>
      <c r="C170" s="274"/>
      <c r="D170" s="264"/>
      <c r="E170" s="263">
        <f t="shared" si="1"/>
        <v>0</v>
      </c>
    </row>
    <row r="171" spans="1:8">
      <c r="A171" s="209" t="s">
        <v>29</v>
      </c>
      <c r="B171" s="210" t="s">
        <v>36</v>
      </c>
      <c r="C171" s="274"/>
      <c r="D171" s="264"/>
      <c r="E171" s="263">
        <f t="shared" si="1"/>
        <v>0</v>
      </c>
    </row>
    <row r="172" spans="1:8" ht="13.15" customHeight="1">
      <c r="A172" s="209" t="s">
        <v>48</v>
      </c>
      <c r="B172" s="210" t="s">
        <v>37</v>
      </c>
      <c r="C172" s="274"/>
      <c r="D172" s="264"/>
      <c r="E172" s="263">
        <f t="shared" si="1"/>
        <v>0</v>
      </c>
    </row>
    <row r="173" spans="1:8">
      <c r="A173" s="209" t="s">
        <v>157</v>
      </c>
      <c r="B173" s="210" t="s">
        <v>85</v>
      </c>
      <c r="C173" s="232">
        <v>1</v>
      </c>
      <c r="D173" s="264"/>
      <c r="E173" s="266">
        <f t="shared" ref="E173:E174" si="2">C173*D173</f>
        <v>0</v>
      </c>
    </row>
    <row r="174" spans="1:8" ht="12" thickBot="1">
      <c r="A174" s="209" t="s">
        <v>4</v>
      </c>
      <c r="B174" s="210" t="s">
        <v>5</v>
      </c>
      <c r="C174" s="233">
        <f>E53+E54</f>
        <v>0</v>
      </c>
      <c r="D174" s="266">
        <f>+SUM(E166:E173)</f>
        <v>0</v>
      </c>
      <c r="E174" s="266">
        <f t="shared" si="2"/>
        <v>0</v>
      </c>
    </row>
    <row r="175" spans="1:8" ht="12" thickBot="1">
      <c r="D175" s="217" t="s">
        <v>156</v>
      </c>
      <c r="E175" s="218">
        <f>$B$63</f>
        <v>0</v>
      </c>
      <c r="F175" s="268">
        <f>E174*E175</f>
        <v>0</v>
      </c>
    </row>
    <row r="176" spans="1:8" ht="11.25" customHeight="1"/>
    <row r="177" spans="1:7" ht="13.9" customHeight="1" thickBot="1">
      <c r="A177" s="2" t="s">
        <v>363</v>
      </c>
    </row>
    <row r="178" spans="1:7" ht="23.25" thickBot="1">
      <c r="A178" s="202" t="s">
        <v>298</v>
      </c>
      <c r="B178" s="203" t="s">
        <v>299</v>
      </c>
      <c r="C178" s="231" t="s">
        <v>305</v>
      </c>
      <c r="D178" s="204" t="s">
        <v>300</v>
      </c>
      <c r="E178" s="204" t="s">
        <v>301</v>
      </c>
      <c r="F178" s="205" t="s">
        <v>302</v>
      </c>
    </row>
    <row r="179" spans="1:7">
      <c r="A179" s="209" t="s">
        <v>26</v>
      </c>
      <c r="B179" s="210" t="s">
        <v>8</v>
      </c>
      <c r="C179" s="274"/>
      <c r="D179" s="265">
        <f>+D166</f>
        <v>0</v>
      </c>
      <c r="E179" s="263">
        <f t="shared" ref="E179:E181" si="3">IFERROR(D179/C179,0)</f>
        <v>0</v>
      </c>
    </row>
    <row r="180" spans="1:7">
      <c r="A180" s="209" t="s">
        <v>27</v>
      </c>
      <c r="B180" s="210" t="s">
        <v>8</v>
      </c>
      <c r="C180" s="274"/>
      <c r="D180" s="265">
        <f>+D167</f>
        <v>0</v>
      </c>
      <c r="E180" s="263">
        <f t="shared" si="3"/>
        <v>0</v>
      </c>
    </row>
    <row r="181" spans="1:7">
      <c r="A181" s="209" t="s">
        <v>50</v>
      </c>
      <c r="B181" s="210" t="s">
        <v>36</v>
      </c>
      <c r="C181" s="274"/>
      <c r="D181" s="265">
        <f>+D169</f>
        <v>0</v>
      </c>
      <c r="E181" s="263">
        <f t="shared" si="3"/>
        <v>0</v>
      </c>
    </row>
    <row r="182" spans="1:7">
      <c r="A182" s="209" t="s">
        <v>157</v>
      </c>
      <c r="B182" s="210" t="s">
        <v>85</v>
      </c>
      <c r="C182" s="232">
        <v>1</v>
      </c>
      <c r="D182" s="264"/>
      <c r="E182" s="266">
        <f t="shared" ref="E182:E183" si="4">C182*D182</f>
        <v>0</v>
      </c>
      <c r="G182" s="2"/>
    </row>
    <row r="183" spans="1:7" ht="12" thickBot="1">
      <c r="A183" s="209" t="s">
        <v>4</v>
      </c>
      <c r="B183" s="210" t="s">
        <v>5</v>
      </c>
      <c r="C183" s="233">
        <f>E55+E56</f>
        <v>0</v>
      </c>
      <c r="D183" s="266">
        <f>+SUM(E179:E182)</f>
        <v>0</v>
      </c>
      <c r="E183" s="266">
        <f t="shared" si="4"/>
        <v>0</v>
      </c>
      <c r="G183" s="2"/>
    </row>
    <row r="184" spans="1:7" ht="12" thickBot="1">
      <c r="D184" s="217" t="s">
        <v>156</v>
      </c>
      <c r="E184" s="218">
        <f>$B$63</f>
        <v>0</v>
      </c>
      <c r="F184" s="268">
        <f>E183*E184</f>
        <v>0</v>
      </c>
      <c r="G184" s="2"/>
    </row>
    <row r="185" spans="1:7" ht="11.25" customHeight="1" thickBot="1">
      <c r="G185" s="2"/>
    </row>
    <row r="186" spans="1:7" ht="12" thickBot="1">
      <c r="A186" s="228" t="s">
        <v>158</v>
      </c>
      <c r="B186" s="234"/>
      <c r="C186" s="234"/>
      <c r="D186" s="235"/>
      <c r="E186" s="236"/>
      <c r="F186" s="275">
        <f>+F175+F184</f>
        <v>0</v>
      </c>
      <c r="G186" s="2"/>
    </row>
    <row r="187" spans="1:7" ht="11.25" customHeight="1">
      <c r="G187" s="2"/>
    </row>
    <row r="188" spans="1:7">
      <c r="A188" s="39" t="s">
        <v>306</v>
      </c>
      <c r="G188" s="2"/>
    </row>
    <row r="189" spans="1:7">
      <c r="A189" s="2" t="s">
        <v>375</v>
      </c>
      <c r="G189" s="2"/>
    </row>
    <row r="190" spans="1:7" ht="12" thickBot="1">
      <c r="A190" s="238" t="s">
        <v>35</v>
      </c>
      <c r="G190" s="2"/>
    </row>
    <row r="191" spans="1:7" ht="12" thickBot="1">
      <c r="A191" s="202" t="s">
        <v>298</v>
      </c>
      <c r="B191" s="203" t="s">
        <v>299</v>
      </c>
      <c r="C191" s="203" t="s">
        <v>295</v>
      </c>
      <c r="D191" s="204" t="s">
        <v>300</v>
      </c>
      <c r="E191" s="204" t="s">
        <v>301</v>
      </c>
      <c r="F191" s="205" t="s">
        <v>302</v>
      </c>
      <c r="G191" s="2"/>
    </row>
    <row r="192" spans="1:7">
      <c r="A192" s="314" t="s">
        <v>329</v>
      </c>
      <c r="B192" s="207" t="s">
        <v>8</v>
      </c>
      <c r="C192" s="239"/>
      <c r="D192" s="264"/>
      <c r="E192" s="263">
        <f>C192*D192</f>
        <v>0</v>
      </c>
      <c r="G192" s="2"/>
    </row>
    <row r="193" spans="1:10">
      <c r="A193" s="307" t="s">
        <v>72</v>
      </c>
      <c r="B193" s="210" t="s">
        <v>73</v>
      </c>
      <c r="C193" s="89"/>
      <c r="D193" s="212"/>
      <c r="E193" s="211"/>
      <c r="G193" s="2"/>
    </row>
    <row r="194" spans="1:10">
      <c r="A194" s="307" t="s">
        <v>160</v>
      </c>
      <c r="B194" s="210" t="s">
        <v>73</v>
      </c>
      <c r="C194" s="89"/>
      <c r="D194" s="212"/>
      <c r="E194" s="211"/>
      <c r="F194" s="240"/>
      <c r="I194" s="241"/>
      <c r="J194" s="241"/>
    </row>
    <row r="195" spans="1:10">
      <c r="A195" s="307" t="s">
        <v>74</v>
      </c>
      <c r="B195" s="210" t="s">
        <v>1</v>
      </c>
      <c r="C195" s="212">
        <f>IFERROR(VLOOKUP(C193,'5. Depreciação'!A3:B17,2,FALSE),0)</f>
        <v>0</v>
      </c>
      <c r="D195" s="265">
        <f>E192</f>
        <v>0</v>
      </c>
      <c r="E195" s="266">
        <f>C195*D195/100</f>
        <v>0</v>
      </c>
    </row>
    <row r="196" spans="1:10" ht="12" thickBot="1">
      <c r="A196" s="311" t="s">
        <v>38</v>
      </c>
      <c r="B196" s="242" t="s">
        <v>6</v>
      </c>
      <c r="C196" s="277">
        <f>C193*12</f>
        <v>0</v>
      </c>
      <c r="D196" s="278">
        <f>IF(C194&lt;=C193,E195,0)</f>
        <v>0</v>
      </c>
      <c r="E196" s="276">
        <f>IFERROR(D196/C196,0)</f>
        <v>0</v>
      </c>
    </row>
    <row r="197" spans="1:10" ht="12" thickTop="1">
      <c r="A197" s="314" t="s">
        <v>330</v>
      </c>
      <c r="B197" s="207" t="s">
        <v>8</v>
      </c>
      <c r="C197" s="239">
        <f>C192</f>
        <v>0</v>
      </c>
      <c r="D197" s="264"/>
      <c r="E197" s="263">
        <f>C197*D197</f>
        <v>0</v>
      </c>
      <c r="G197" s="2"/>
    </row>
    <row r="198" spans="1:10">
      <c r="A198" s="307" t="s">
        <v>315</v>
      </c>
      <c r="B198" s="210" t="s">
        <v>73</v>
      </c>
      <c r="C198" s="89"/>
      <c r="D198" s="212"/>
      <c r="E198" s="211"/>
    </row>
    <row r="199" spans="1:10">
      <c r="A199" s="307" t="s">
        <v>316</v>
      </c>
      <c r="B199" s="210" t="s">
        <v>73</v>
      </c>
      <c r="C199" s="89"/>
      <c r="D199" s="212"/>
      <c r="E199" s="211"/>
      <c r="F199" s="240"/>
      <c r="I199" s="241"/>
      <c r="J199" s="241"/>
    </row>
    <row r="200" spans="1:10">
      <c r="A200" s="307" t="s">
        <v>317</v>
      </c>
      <c r="B200" s="210" t="s">
        <v>1</v>
      </c>
      <c r="C200" s="279">
        <f>IFERROR(VLOOKUP(C198,'5. Depreciação'!A3:B17,2,FALSE),0)</f>
        <v>0</v>
      </c>
      <c r="D200" s="265">
        <f>E197</f>
        <v>0</v>
      </c>
      <c r="E200" s="266">
        <f>C200*D200/100</f>
        <v>0</v>
      </c>
    </row>
    <row r="201" spans="1:10">
      <c r="A201" s="312" t="s">
        <v>318</v>
      </c>
      <c r="B201" s="243" t="s">
        <v>6</v>
      </c>
      <c r="C201" s="280">
        <f>C198*12</f>
        <v>0</v>
      </c>
      <c r="D201" s="281">
        <f>IF(C199&lt;=C198,E200,0)</f>
        <v>0</v>
      </c>
      <c r="E201" s="269">
        <f>IFERROR(D201/C201,0)</f>
        <v>0</v>
      </c>
    </row>
    <row r="202" spans="1:10">
      <c r="A202" s="313" t="s">
        <v>191</v>
      </c>
      <c r="B202" s="214"/>
      <c r="C202" s="282"/>
      <c r="D202" s="283"/>
      <c r="E202" s="267">
        <f>E196+E201</f>
        <v>0</v>
      </c>
    </row>
    <row r="203" spans="1:10" ht="12" thickBot="1">
      <c r="A203" s="312" t="s">
        <v>192</v>
      </c>
      <c r="B203" s="243" t="s">
        <v>8</v>
      </c>
      <c r="C203" s="89"/>
      <c r="D203" s="281">
        <f>E202</f>
        <v>0</v>
      </c>
      <c r="E203" s="267">
        <f>C203*D203</f>
        <v>0</v>
      </c>
    </row>
    <row r="204" spans="1:10" ht="12" thickBot="1">
      <c r="A204" s="4"/>
      <c r="B204" s="4"/>
      <c r="C204" s="4"/>
      <c r="D204" s="217" t="s">
        <v>156</v>
      </c>
      <c r="E204" s="218">
        <f>$B$63</f>
        <v>0</v>
      </c>
      <c r="F204" s="275">
        <f>E203*E204</f>
        <v>0</v>
      </c>
    </row>
    <row r="205" spans="1:10" ht="11.25" customHeight="1"/>
    <row r="206" spans="1:10" ht="12" thickBot="1">
      <c r="A206" s="238" t="s">
        <v>78</v>
      </c>
    </row>
    <row r="207" spans="1:10" ht="12" thickBot="1">
      <c r="A207" s="244" t="s">
        <v>298</v>
      </c>
      <c r="B207" s="245" t="s">
        <v>299</v>
      </c>
      <c r="C207" s="245" t="s">
        <v>295</v>
      </c>
      <c r="D207" s="204" t="s">
        <v>300</v>
      </c>
      <c r="E207" s="246" t="s">
        <v>301</v>
      </c>
      <c r="F207" s="205" t="s">
        <v>302</v>
      </c>
      <c r="I207" s="241"/>
      <c r="J207" s="241"/>
    </row>
    <row r="208" spans="1:10">
      <c r="A208" s="307" t="s">
        <v>77</v>
      </c>
      <c r="B208" s="210" t="s">
        <v>8</v>
      </c>
      <c r="C208" s="89"/>
      <c r="D208" s="266">
        <f>D192</f>
        <v>0</v>
      </c>
      <c r="E208" s="266">
        <f>C208*D208</f>
        <v>0</v>
      </c>
      <c r="F208" s="240"/>
      <c r="I208" s="241"/>
      <c r="J208" s="241"/>
    </row>
    <row r="209" spans="1:10">
      <c r="A209" s="307" t="s">
        <v>307</v>
      </c>
      <c r="B209" s="210" t="s">
        <v>1</v>
      </c>
      <c r="C209" s="328"/>
      <c r="D209" s="211"/>
      <c r="E209" s="211"/>
      <c r="F209" s="240"/>
      <c r="I209" s="241"/>
      <c r="J209" s="241"/>
    </row>
    <row r="210" spans="1:10">
      <c r="A210" s="307" t="s">
        <v>161</v>
      </c>
      <c r="B210" s="210" t="s">
        <v>30</v>
      </c>
      <c r="C210" s="247">
        <f>IFERROR(IF(C194&lt;=C193,E192-(C195/(100*C193)*C194)*E192,E192-E195),0)</f>
        <v>0</v>
      </c>
      <c r="D210" s="211"/>
      <c r="E210" s="211"/>
      <c r="F210" s="240"/>
      <c r="I210" s="241"/>
      <c r="J210" s="241"/>
    </row>
    <row r="211" spans="1:10">
      <c r="A211" s="307" t="s">
        <v>80</v>
      </c>
      <c r="B211" s="210" t="s">
        <v>30</v>
      </c>
      <c r="C211" s="212">
        <f>IFERROR(IF(C194&gt;=C193,C210,((((C210)-(E192-E195))*(((C193-C194)+1)/(2*(C193-C194))))+(E192-E195))),0)</f>
        <v>0</v>
      </c>
      <c r="D211" s="211"/>
      <c r="E211" s="211"/>
      <c r="F211" s="240"/>
      <c r="I211" s="241"/>
      <c r="J211" s="241"/>
    </row>
    <row r="212" spans="1:10">
      <c r="A212" s="312" t="s">
        <v>81</v>
      </c>
      <c r="B212" s="243" t="s">
        <v>30</v>
      </c>
      <c r="C212" s="243"/>
      <c r="D212" s="281">
        <f>C209*C211/12/100</f>
        <v>0</v>
      </c>
      <c r="E212" s="269">
        <f>D212</f>
        <v>0</v>
      </c>
      <c r="F212" s="240"/>
      <c r="I212" s="241"/>
      <c r="J212" s="241"/>
    </row>
    <row r="213" spans="1:10">
      <c r="A213" s="314" t="s">
        <v>319</v>
      </c>
      <c r="B213" s="207" t="s">
        <v>8</v>
      </c>
      <c r="C213" s="207">
        <f>C197</f>
        <v>0</v>
      </c>
      <c r="D213" s="263">
        <f>D197</f>
        <v>0</v>
      </c>
      <c r="E213" s="263">
        <f>C213*D213</f>
        <v>0</v>
      </c>
      <c r="F213" s="240"/>
      <c r="I213" s="241"/>
      <c r="J213" s="241"/>
    </row>
    <row r="214" spans="1:10">
      <c r="A214" s="307" t="s">
        <v>162</v>
      </c>
      <c r="B214" s="210" t="s">
        <v>1</v>
      </c>
      <c r="C214" s="89">
        <f>C209</f>
        <v>0</v>
      </c>
      <c r="D214" s="211"/>
      <c r="E214" s="211"/>
      <c r="F214" s="240"/>
      <c r="I214" s="241"/>
      <c r="J214" s="241"/>
    </row>
    <row r="215" spans="1:10">
      <c r="A215" s="307" t="s">
        <v>320</v>
      </c>
      <c r="B215" s="210" t="s">
        <v>30</v>
      </c>
      <c r="C215" s="247">
        <f>IFERROR(IF(C199&lt;=C198,E197-(C200/(100*C198)*C199)*E197,E197-E200),0)</f>
        <v>0</v>
      </c>
      <c r="D215" s="211"/>
      <c r="E215" s="211"/>
      <c r="F215" s="240"/>
      <c r="I215" s="241"/>
      <c r="J215" s="241"/>
    </row>
    <row r="216" spans="1:10">
      <c r="A216" s="307" t="s">
        <v>321</v>
      </c>
      <c r="B216" s="210" t="s">
        <v>30</v>
      </c>
      <c r="C216" s="212">
        <f>IFERROR(IF(C199&gt;=C198,C215,((((C215)-(E197-E200))*(((C198-C199)+1)/(2*(C198-C199))))+(E197-E200))),0)</f>
        <v>0</v>
      </c>
      <c r="D216" s="211"/>
      <c r="E216" s="211"/>
      <c r="F216" s="240"/>
      <c r="I216" s="241"/>
      <c r="J216" s="241"/>
    </row>
    <row r="217" spans="1:10">
      <c r="A217" s="312" t="s">
        <v>322</v>
      </c>
      <c r="B217" s="243" t="s">
        <v>30</v>
      </c>
      <c r="C217" s="243"/>
      <c r="D217" s="281">
        <f>C214*C216/12/100</f>
        <v>0</v>
      </c>
      <c r="E217" s="269">
        <f>D217</f>
        <v>0</v>
      </c>
      <c r="F217" s="240"/>
      <c r="I217" s="241"/>
      <c r="J217" s="241"/>
    </row>
    <row r="218" spans="1:10">
      <c r="A218" s="313" t="s">
        <v>191</v>
      </c>
      <c r="B218" s="214"/>
      <c r="C218" s="214"/>
      <c r="D218" s="215"/>
      <c r="E218" s="267">
        <f>E212+E217</f>
        <v>0</v>
      </c>
      <c r="F218" s="240"/>
      <c r="I218" s="241"/>
      <c r="J218" s="241"/>
    </row>
    <row r="219" spans="1:10" ht="12" thickBot="1">
      <c r="A219" s="312" t="s">
        <v>192</v>
      </c>
      <c r="B219" s="243" t="s">
        <v>8</v>
      </c>
      <c r="C219" s="89">
        <f>C203</f>
        <v>0</v>
      </c>
      <c r="D219" s="269">
        <f>E218</f>
        <v>0</v>
      </c>
      <c r="E219" s="267">
        <f>C219*D219</f>
        <v>0</v>
      </c>
      <c r="F219" s="240"/>
      <c r="I219" s="241"/>
      <c r="J219" s="241"/>
    </row>
    <row r="220" spans="1:10" ht="12" thickBot="1">
      <c r="C220" s="248"/>
      <c r="D220" s="217" t="s">
        <v>156</v>
      </c>
      <c r="E220" s="218">
        <f>$B$63</f>
        <v>0</v>
      </c>
      <c r="F220" s="275">
        <f>E219*E220</f>
        <v>0</v>
      </c>
      <c r="I220" s="241"/>
      <c r="J220" s="241"/>
    </row>
    <row r="221" spans="1:10" ht="11.25" customHeight="1">
      <c r="I221" s="241"/>
      <c r="J221" s="241"/>
    </row>
    <row r="222" spans="1:10" ht="12" thickBot="1">
      <c r="A222" s="2" t="s">
        <v>39</v>
      </c>
      <c r="I222" s="241"/>
      <c r="J222" s="241"/>
    </row>
    <row r="223" spans="1:10" ht="12" thickBot="1">
      <c r="A223" s="202" t="s">
        <v>298</v>
      </c>
      <c r="B223" s="203" t="s">
        <v>299</v>
      </c>
      <c r="C223" s="203" t="s">
        <v>295</v>
      </c>
      <c r="D223" s="204" t="s">
        <v>300</v>
      </c>
      <c r="E223" s="204" t="s">
        <v>301</v>
      </c>
      <c r="F223" s="205" t="s">
        <v>302</v>
      </c>
      <c r="I223" s="241"/>
      <c r="J223" s="241"/>
    </row>
    <row r="224" spans="1:10">
      <c r="A224" s="314" t="s">
        <v>9</v>
      </c>
      <c r="B224" s="207" t="s">
        <v>8</v>
      </c>
      <c r="C224" s="208">
        <f>C203</f>
        <v>0</v>
      </c>
      <c r="D224" s="263">
        <f>0.01*($E$192)</f>
        <v>0</v>
      </c>
      <c r="E224" s="263">
        <f>C224*D224</f>
        <v>0</v>
      </c>
      <c r="I224" s="241"/>
      <c r="J224" s="241"/>
    </row>
    <row r="225" spans="1:10">
      <c r="A225" s="307" t="s">
        <v>155</v>
      </c>
      <c r="B225" s="210" t="s">
        <v>8</v>
      </c>
      <c r="C225" s="208">
        <f>C203</f>
        <v>0</v>
      </c>
      <c r="D225" s="265"/>
      <c r="E225" s="266">
        <f>C225*D225</f>
        <v>0</v>
      </c>
      <c r="I225" s="241"/>
      <c r="J225" s="241"/>
    </row>
    <row r="226" spans="1:10">
      <c r="A226" s="307" t="s">
        <v>10</v>
      </c>
      <c r="B226" s="210" t="s">
        <v>8</v>
      </c>
      <c r="C226" s="208">
        <f>C203</f>
        <v>0</v>
      </c>
      <c r="D226" s="265"/>
      <c r="E226" s="266">
        <f>C226*D226</f>
        <v>0</v>
      </c>
      <c r="F226" s="249"/>
      <c r="I226" s="241"/>
      <c r="J226" s="241"/>
    </row>
    <row r="227" spans="1:10" ht="12" thickBot="1">
      <c r="A227" s="312" t="s">
        <v>11</v>
      </c>
      <c r="B227" s="243" t="s">
        <v>6</v>
      </c>
      <c r="C227" s="243">
        <v>12</v>
      </c>
      <c r="D227" s="269">
        <f>SUM(E224:E226)</f>
        <v>0</v>
      </c>
      <c r="E227" s="269">
        <f>D227/C227</f>
        <v>0</v>
      </c>
      <c r="I227" s="241"/>
      <c r="J227" s="241"/>
    </row>
    <row r="228" spans="1:10" ht="12" thickBot="1">
      <c r="D228" s="217" t="s">
        <v>156</v>
      </c>
      <c r="E228" s="218">
        <f>$B$63</f>
        <v>0</v>
      </c>
      <c r="F228" s="268">
        <f>E227*E228</f>
        <v>0</v>
      </c>
      <c r="I228" s="241"/>
      <c r="J228" s="241"/>
    </row>
    <row r="229" spans="1:10" ht="11.25" customHeight="1">
      <c r="I229" s="241"/>
      <c r="J229" s="241"/>
    </row>
    <row r="230" spans="1:10">
      <c r="A230" s="2" t="s">
        <v>40</v>
      </c>
      <c r="B230" s="250"/>
      <c r="I230" s="241"/>
      <c r="J230" s="241"/>
    </row>
    <row r="231" spans="1:10">
      <c r="B231" s="250"/>
      <c r="I231" s="241"/>
      <c r="J231" s="241"/>
    </row>
    <row r="232" spans="1:10">
      <c r="A232" s="219" t="s">
        <v>82</v>
      </c>
      <c r="B232" s="316">
        <f>'8-Setores Coleta'!M36</f>
        <v>3037.6400000000008</v>
      </c>
      <c r="I232" s="241"/>
      <c r="J232" s="241"/>
    </row>
    <row r="233" spans="1:10" ht="12" thickBot="1">
      <c r="B233" s="250"/>
      <c r="I233" s="241"/>
      <c r="J233" s="241"/>
    </row>
    <row r="234" spans="1:10" ht="12" thickBot="1">
      <c r="A234" s="202" t="s">
        <v>298</v>
      </c>
      <c r="B234" s="203" t="s">
        <v>299</v>
      </c>
      <c r="C234" s="203" t="s">
        <v>308</v>
      </c>
      <c r="D234" s="204" t="s">
        <v>300</v>
      </c>
      <c r="E234" s="204" t="s">
        <v>301</v>
      </c>
      <c r="F234" s="205" t="s">
        <v>302</v>
      </c>
      <c r="I234" s="241"/>
      <c r="J234" s="241"/>
    </row>
    <row r="235" spans="1:10">
      <c r="A235" s="314" t="s">
        <v>12</v>
      </c>
      <c r="B235" s="207" t="s">
        <v>13</v>
      </c>
      <c r="C235" s="300"/>
      <c r="D235" s="264"/>
      <c r="E235" s="208"/>
      <c r="I235" s="241"/>
      <c r="J235" s="241"/>
    </row>
    <row r="236" spans="1:10">
      <c r="A236" s="307" t="s">
        <v>14</v>
      </c>
      <c r="B236" s="210" t="s">
        <v>15</v>
      </c>
      <c r="C236" s="285">
        <f>B232</f>
        <v>3037.6400000000008</v>
      </c>
      <c r="D236" s="264" t="str">
        <f>IFERROR(+D235/C235,"-")</f>
        <v>-</v>
      </c>
      <c r="E236" s="266" t="str">
        <f>IFERROR(C236*D236,"-")</f>
        <v>-</v>
      </c>
      <c r="I236" s="241"/>
      <c r="J236" s="241"/>
    </row>
    <row r="237" spans="1:10">
      <c r="A237" s="307" t="s">
        <v>178</v>
      </c>
      <c r="B237" s="210" t="s">
        <v>16</v>
      </c>
      <c r="C237" s="301"/>
      <c r="D237" s="265"/>
      <c r="E237" s="211"/>
      <c r="G237" s="251"/>
      <c r="H237" s="252"/>
      <c r="I237" s="241"/>
      <c r="J237" s="241"/>
    </row>
    <row r="238" spans="1:10">
      <c r="A238" s="307" t="s">
        <v>17</v>
      </c>
      <c r="B238" s="210" t="s">
        <v>15</v>
      </c>
      <c r="C238" s="285">
        <f>C236</f>
        <v>3037.6400000000008</v>
      </c>
      <c r="D238" s="265">
        <f>+C237*D237/1000</f>
        <v>0</v>
      </c>
      <c r="E238" s="266">
        <f>C238*D238</f>
        <v>0</v>
      </c>
      <c r="G238" s="251"/>
      <c r="H238" s="252"/>
      <c r="I238" s="241"/>
      <c r="J238" s="241"/>
    </row>
    <row r="239" spans="1:10">
      <c r="A239" s="307" t="s">
        <v>179</v>
      </c>
      <c r="B239" s="210" t="s">
        <v>16</v>
      </c>
      <c r="C239" s="301"/>
      <c r="D239" s="265"/>
      <c r="E239" s="211"/>
      <c r="G239" s="251"/>
      <c r="H239" s="252"/>
      <c r="I239" s="241"/>
      <c r="J239" s="241"/>
    </row>
    <row r="240" spans="1:10">
      <c r="A240" s="307" t="s">
        <v>18</v>
      </c>
      <c r="B240" s="210" t="s">
        <v>15</v>
      </c>
      <c r="C240" s="285">
        <f>C236</f>
        <v>3037.6400000000008</v>
      </c>
      <c r="D240" s="302">
        <f>+C239*D239/1000</f>
        <v>0</v>
      </c>
      <c r="E240" s="266">
        <f>C240*D240</f>
        <v>0</v>
      </c>
      <c r="G240" s="251"/>
      <c r="H240" s="252"/>
      <c r="I240" s="241"/>
      <c r="J240" s="241"/>
    </row>
    <row r="241" spans="1:10">
      <c r="A241" s="307" t="s">
        <v>180</v>
      </c>
      <c r="B241" s="210" t="s">
        <v>16</v>
      </c>
      <c r="C241" s="301"/>
      <c r="D241" s="265"/>
      <c r="E241" s="211"/>
      <c r="G241" s="251"/>
      <c r="H241" s="252"/>
      <c r="I241" s="241"/>
      <c r="J241" s="241"/>
    </row>
    <row r="242" spans="1:10">
      <c r="A242" s="307" t="s">
        <v>19</v>
      </c>
      <c r="B242" s="210" t="s">
        <v>15</v>
      </c>
      <c r="C242" s="285">
        <f>C236</f>
        <v>3037.6400000000008</v>
      </c>
      <c r="D242" s="265">
        <f>+C241*D241/1000</f>
        <v>0</v>
      </c>
      <c r="E242" s="266">
        <f>C242*D242</f>
        <v>0</v>
      </c>
      <c r="G242" s="251"/>
      <c r="H242" s="252"/>
      <c r="I242" s="241"/>
      <c r="J242" s="241"/>
    </row>
    <row r="243" spans="1:10">
      <c r="A243" s="307" t="s">
        <v>20</v>
      </c>
      <c r="B243" s="210" t="s">
        <v>21</v>
      </c>
      <c r="C243" s="301"/>
      <c r="D243" s="265"/>
      <c r="E243" s="211"/>
      <c r="G243" s="251"/>
      <c r="H243" s="252"/>
      <c r="I243" s="241"/>
      <c r="J243" s="241"/>
    </row>
    <row r="244" spans="1:10">
      <c r="A244" s="307" t="s">
        <v>22</v>
      </c>
      <c r="B244" s="210" t="s">
        <v>15</v>
      </c>
      <c r="C244" s="285">
        <f>C236</f>
        <v>3037.6400000000008</v>
      </c>
      <c r="D244" s="265">
        <f>+C243*D243/1000</f>
        <v>0</v>
      </c>
      <c r="E244" s="266">
        <f>C244*D244</f>
        <v>0</v>
      </c>
      <c r="G244" s="251"/>
      <c r="H244" s="252"/>
      <c r="I244" s="241"/>
      <c r="J244" s="241"/>
    </row>
    <row r="245" spans="1:10" ht="12" thickBot="1">
      <c r="A245" s="312" t="s">
        <v>190</v>
      </c>
      <c r="B245" s="243" t="s">
        <v>83</v>
      </c>
      <c r="C245" s="253"/>
      <c r="D245" s="254">
        <f>IFERROR(D236+D238+D240+D242+D244,0)</f>
        <v>0</v>
      </c>
      <c r="E245" s="211"/>
      <c r="G245" s="251"/>
      <c r="H245" s="252"/>
      <c r="I245" s="241"/>
      <c r="J245" s="241"/>
    </row>
    <row r="246" spans="1:10" ht="12" thickBot="1">
      <c r="F246" s="275">
        <f>SUM(E235:E244)</f>
        <v>0</v>
      </c>
      <c r="I246" s="241"/>
      <c r="J246" s="241"/>
    </row>
    <row r="247" spans="1:10" ht="11.25" customHeight="1">
      <c r="I247" s="241"/>
      <c r="J247" s="241"/>
    </row>
    <row r="248" spans="1:10" ht="12" thickBot="1">
      <c r="A248" s="2" t="s">
        <v>41</v>
      </c>
      <c r="I248" s="241"/>
      <c r="J248" s="241"/>
    </row>
    <row r="249" spans="1:10" ht="12" thickBot="1">
      <c r="A249" s="202" t="s">
        <v>298</v>
      </c>
      <c r="B249" s="203" t="s">
        <v>299</v>
      </c>
      <c r="C249" s="203" t="s">
        <v>295</v>
      </c>
      <c r="D249" s="204" t="s">
        <v>300</v>
      </c>
      <c r="E249" s="204" t="s">
        <v>301</v>
      </c>
      <c r="F249" s="205" t="s">
        <v>302</v>
      </c>
      <c r="I249" s="241"/>
      <c r="J249" s="241"/>
    </row>
    <row r="250" spans="1:10" ht="12" thickBot="1">
      <c r="A250" s="206" t="s">
        <v>373</v>
      </c>
      <c r="B250" s="207" t="s">
        <v>83</v>
      </c>
      <c r="C250" s="223">
        <f>C236</f>
        <v>3037.6400000000008</v>
      </c>
      <c r="D250" s="255"/>
      <c r="E250" s="263">
        <f>C250*D250</f>
        <v>0</v>
      </c>
      <c r="I250" s="241"/>
      <c r="J250" s="241"/>
    </row>
    <row r="251" spans="1:10" ht="12" thickBot="1">
      <c r="F251" s="275">
        <f>E250</f>
        <v>0</v>
      </c>
      <c r="I251" s="241"/>
      <c r="J251" s="241"/>
    </row>
    <row r="252" spans="1:10" ht="11.25" customHeight="1">
      <c r="I252" s="241"/>
      <c r="J252" s="241"/>
    </row>
    <row r="253" spans="1:10" ht="12" thickBot="1">
      <c r="A253" s="2" t="s">
        <v>47</v>
      </c>
      <c r="I253" s="241"/>
      <c r="J253" s="241"/>
    </row>
    <row r="254" spans="1:10" ht="12" thickBot="1">
      <c r="A254" s="202" t="s">
        <v>298</v>
      </c>
      <c r="B254" s="203" t="s">
        <v>299</v>
      </c>
      <c r="C254" s="203" t="s">
        <v>295</v>
      </c>
      <c r="D254" s="204" t="s">
        <v>300</v>
      </c>
      <c r="E254" s="204" t="s">
        <v>301</v>
      </c>
      <c r="F254" s="205" t="s">
        <v>302</v>
      </c>
      <c r="I254" s="241"/>
      <c r="J254" s="241"/>
    </row>
    <row r="255" spans="1:10">
      <c r="A255" s="314" t="s">
        <v>374</v>
      </c>
      <c r="B255" s="207" t="s">
        <v>8</v>
      </c>
      <c r="C255" s="239"/>
      <c r="D255" s="264"/>
      <c r="E255" s="263">
        <f>C255*D255</f>
        <v>0</v>
      </c>
      <c r="I255" s="241"/>
      <c r="J255" s="241"/>
    </row>
    <row r="256" spans="1:10">
      <c r="A256" s="314" t="s">
        <v>84</v>
      </c>
      <c r="B256" s="207" t="s">
        <v>8</v>
      </c>
      <c r="C256" s="239"/>
      <c r="D256" s="255"/>
      <c r="E256" s="208"/>
      <c r="I256" s="241"/>
      <c r="J256" s="241"/>
    </row>
    <row r="257" spans="1:10">
      <c r="A257" s="314" t="s">
        <v>51</v>
      </c>
      <c r="B257" s="207" t="s">
        <v>8</v>
      </c>
      <c r="C257" s="255">
        <f>C255*C256</f>
        <v>0</v>
      </c>
      <c r="D257" s="264"/>
      <c r="E257" s="263">
        <f>C257*D257</f>
        <v>0</v>
      </c>
      <c r="I257" s="241"/>
      <c r="J257" s="241"/>
    </row>
    <row r="258" spans="1:10">
      <c r="A258" s="307" t="s">
        <v>309</v>
      </c>
      <c r="B258" s="210" t="s">
        <v>23</v>
      </c>
      <c r="C258" s="284"/>
      <c r="D258" s="265">
        <f>E255+E257</f>
        <v>0</v>
      </c>
      <c r="E258" s="266" t="str">
        <f>IFERROR(D258/C258,"-")</f>
        <v>-</v>
      </c>
      <c r="I258" s="241"/>
      <c r="J258" s="241"/>
    </row>
    <row r="259" spans="1:10" ht="12" thickBot="1">
      <c r="A259" s="307" t="s">
        <v>42</v>
      </c>
      <c r="B259" s="210" t="s">
        <v>15</v>
      </c>
      <c r="C259" s="285">
        <f>B232</f>
        <v>3037.6400000000008</v>
      </c>
      <c r="D259" s="265" t="str">
        <f>E258</f>
        <v>-</v>
      </c>
      <c r="E259" s="266">
        <f>IFERROR(C259*D259,0)</f>
        <v>0</v>
      </c>
      <c r="I259" s="241"/>
      <c r="J259" s="241"/>
    </row>
    <row r="260" spans="1:10" ht="12" thickBot="1">
      <c r="F260" s="275">
        <f>E259</f>
        <v>0</v>
      </c>
      <c r="I260" s="241"/>
      <c r="J260" s="241"/>
    </row>
    <row r="261" spans="1:10">
      <c r="F261" s="321"/>
      <c r="I261" s="241"/>
      <c r="J261" s="241"/>
    </row>
    <row r="262" spans="1:10">
      <c r="A262" s="2" t="s">
        <v>364</v>
      </c>
      <c r="I262" s="241"/>
      <c r="J262" s="241"/>
    </row>
    <row r="263" spans="1:10" ht="12" thickBot="1">
      <c r="A263" s="238" t="s">
        <v>348</v>
      </c>
      <c r="I263" s="241"/>
      <c r="J263" s="241"/>
    </row>
    <row r="264" spans="1:10" ht="12" thickBot="1">
      <c r="A264" s="202" t="s">
        <v>298</v>
      </c>
      <c r="B264" s="203" t="s">
        <v>299</v>
      </c>
      <c r="C264" s="203" t="s">
        <v>295</v>
      </c>
      <c r="D264" s="204" t="s">
        <v>300</v>
      </c>
      <c r="E264" s="204" t="s">
        <v>301</v>
      </c>
      <c r="F264" s="205" t="s">
        <v>302</v>
      </c>
      <c r="I264" s="241"/>
      <c r="J264" s="241"/>
    </row>
    <row r="265" spans="1:10">
      <c r="A265" s="314" t="s">
        <v>349</v>
      </c>
      <c r="B265" s="207" t="s">
        <v>8</v>
      </c>
      <c r="C265" s="239">
        <v>1</v>
      </c>
      <c r="D265" s="264"/>
      <c r="E265" s="263">
        <f>C265*D265</f>
        <v>0</v>
      </c>
      <c r="I265" s="241"/>
      <c r="J265" s="241"/>
    </row>
    <row r="266" spans="1:10">
      <c r="A266" s="307" t="s">
        <v>350</v>
      </c>
      <c r="B266" s="210" t="s">
        <v>73</v>
      </c>
      <c r="C266" s="328"/>
      <c r="D266" s="212"/>
      <c r="E266" s="211"/>
      <c r="I266" s="241"/>
      <c r="J266" s="241"/>
    </row>
    <row r="267" spans="1:10">
      <c r="A267" s="307" t="s">
        <v>351</v>
      </c>
      <c r="B267" s="210" t="s">
        <v>73</v>
      </c>
      <c r="C267" s="320"/>
      <c r="D267" s="212"/>
      <c r="E267" s="211"/>
      <c r="F267" s="240"/>
      <c r="I267" s="241"/>
      <c r="J267" s="241"/>
    </row>
    <row r="268" spans="1:10">
      <c r="A268" s="307" t="s">
        <v>352</v>
      </c>
      <c r="B268" s="210" t="s">
        <v>1</v>
      </c>
      <c r="C268" s="212">
        <f>IFERROR(VLOOKUP(C266,'5. Depreciação'!A3:B17,2,FALSE),0)</f>
        <v>0</v>
      </c>
      <c r="D268" s="265">
        <f>E265</f>
        <v>0</v>
      </c>
      <c r="E268" s="266">
        <f>C268*D268/100</f>
        <v>0</v>
      </c>
      <c r="I268" s="241"/>
      <c r="J268" s="241"/>
    </row>
    <row r="269" spans="1:10">
      <c r="A269" s="312" t="s">
        <v>353</v>
      </c>
      <c r="B269" s="243" t="s">
        <v>6</v>
      </c>
      <c r="C269" s="280">
        <f>C266*12</f>
        <v>0</v>
      </c>
      <c r="D269" s="281">
        <f>IF(C267&lt;=C266,E268,0)</f>
        <v>0</v>
      </c>
      <c r="E269" s="269">
        <f>IFERROR(D269/C269,0)</f>
        <v>0</v>
      </c>
      <c r="I269" s="241"/>
      <c r="J269" s="241"/>
    </row>
    <row r="270" spans="1:10" ht="12" thickBot="1">
      <c r="A270" s="336" t="s">
        <v>354</v>
      </c>
      <c r="B270" s="337" t="s">
        <v>8</v>
      </c>
      <c r="C270" s="239"/>
      <c r="D270" s="338">
        <f>E269</f>
        <v>0</v>
      </c>
      <c r="E270" s="339">
        <f>C270*D270</f>
        <v>0</v>
      </c>
      <c r="I270" s="241"/>
      <c r="J270" s="241"/>
    </row>
    <row r="271" spans="1:10" ht="12" thickBot="1">
      <c r="A271" s="4"/>
      <c r="B271" s="4"/>
      <c r="C271" s="4"/>
      <c r="D271" s="217" t="s">
        <v>156</v>
      </c>
      <c r="E271" s="218">
        <f>$B$63</f>
        <v>0</v>
      </c>
      <c r="F271" s="275">
        <f>E270*E271</f>
        <v>0</v>
      </c>
      <c r="I271" s="241"/>
      <c r="J271" s="241"/>
    </row>
    <row r="272" spans="1:10">
      <c r="I272" s="241"/>
      <c r="J272" s="241"/>
    </row>
    <row r="273" spans="1:10" ht="12" thickBot="1">
      <c r="A273" s="238" t="s">
        <v>355</v>
      </c>
      <c r="I273" s="241"/>
      <c r="J273" s="241"/>
    </row>
    <row r="274" spans="1:10" ht="12" thickBot="1">
      <c r="A274" s="202" t="s">
        <v>298</v>
      </c>
      <c r="B274" s="203" t="s">
        <v>299</v>
      </c>
      <c r="C274" s="203" t="s">
        <v>295</v>
      </c>
      <c r="D274" s="204" t="s">
        <v>300</v>
      </c>
      <c r="E274" s="204" t="s">
        <v>301</v>
      </c>
      <c r="F274" s="205" t="s">
        <v>302</v>
      </c>
      <c r="I274" s="241"/>
      <c r="J274" s="241"/>
    </row>
    <row r="275" spans="1:10">
      <c r="A275" s="314" t="s">
        <v>356</v>
      </c>
      <c r="B275" s="239" t="s">
        <v>8</v>
      </c>
      <c r="C275" s="239">
        <v>1</v>
      </c>
      <c r="D275" s="264">
        <f>D265</f>
        <v>0</v>
      </c>
      <c r="E275" s="264">
        <f>C275*D275</f>
        <v>0</v>
      </c>
      <c r="F275" s="340"/>
      <c r="I275" s="241"/>
      <c r="J275" s="241"/>
    </row>
    <row r="276" spans="1:10">
      <c r="A276" s="307" t="s">
        <v>307</v>
      </c>
      <c r="B276" s="320" t="s">
        <v>1</v>
      </c>
      <c r="C276" s="328"/>
      <c r="D276" s="257"/>
      <c r="E276" s="257"/>
      <c r="F276" s="340"/>
      <c r="I276" s="241"/>
      <c r="J276" s="241"/>
    </row>
    <row r="277" spans="1:10">
      <c r="A277" s="307" t="s">
        <v>357</v>
      </c>
      <c r="B277" s="320" t="s">
        <v>30</v>
      </c>
      <c r="C277" s="247">
        <f>IFERROR(IF(C267&lt;=C266,E265-(C268/(100*C266)*C267)*E265,E265-E268),0)</f>
        <v>0</v>
      </c>
      <c r="D277" s="257"/>
      <c r="E277" s="257"/>
      <c r="F277" s="340"/>
      <c r="I277" s="241"/>
      <c r="J277" s="241"/>
    </row>
    <row r="278" spans="1:10">
      <c r="A278" s="307" t="s">
        <v>358</v>
      </c>
      <c r="B278" s="320" t="s">
        <v>30</v>
      </c>
      <c r="C278" s="212">
        <f>IFERROR(IF(C267&gt;=C266,C277,((((C277)-(E265-E268))*(((C266-C267)+1)/(2*(C266-C267))))+(E265-E268))),0)</f>
        <v>0</v>
      </c>
      <c r="D278" s="257"/>
      <c r="E278" s="257"/>
      <c r="F278" s="340"/>
      <c r="I278" s="241"/>
      <c r="J278" s="241"/>
    </row>
    <row r="279" spans="1:10">
      <c r="A279" s="312" t="s">
        <v>359</v>
      </c>
      <c r="B279" s="280" t="s">
        <v>30</v>
      </c>
      <c r="C279" s="280"/>
      <c r="D279" s="281">
        <f>C276*C278/12/100</f>
        <v>0</v>
      </c>
      <c r="E279" s="281">
        <f>D279</f>
        <v>0</v>
      </c>
      <c r="F279" s="340"/>
      <c r="I279" s="241"/>
      <c r="J279" s="241"/>
    </row>
    <row r="280" spans="1:10">
      <c r="A280" s="313" t="s">
        <v>360</v>
      </c>
      <c r="B280" s="282"/>
      <c r="C280" s="282"/>
      <c r="D280" s="283"/>
      <c r="E280" s="341">
        <f>E279</f>
        <v>0</v>
      </c>
      <c r="F280" s="340"/>
      <c r="I280" s="241"/>
      <c r="J280" s="241"/>
    </row>
    <row r="281" spans="1:10" ht="12" thickBot="1">
      <c r="A281" s="312" t="s">
        <v>354</v>
      </c>
      <c r="B281" s="280" t="s">
        <v>8</v>
      </c>
      <c r="C281" s="328">
        <f>C270</f>
        <v>0</v>
      </c>
      <c r="D281" s="281">
        <f>E280</f>
        <v>0</v>
      </c>
      <c r="E281" s="341">
        <f>C281*D281</f>
        <v>0</v>
      </c>
      <c r="F281" s="340"/>
      <c r="I281" s="241"/>
      <c r="J281" s="241"/>
    </row>
    <row r="282" spans="1:10" ht="12" thickBot="1">
      <c r="C282" s="342"/>
      <c r="D282" s="343" t="s">
        <v>156</v>
      </c>
      <c r="E282" s="279">
        <f>$B$63</f>
        <v>0</v>
      </c>
      <c r="F282" s="275">
        <f>E281*E282</f>
        <v>0</v>
      </c>
      <c r="I282" s="241"/>
      <c r="J282" s="241"/>
    </row>
    <row r="283" spans="1:10">
      <c r="F283" s="321"/>
      <c r="I283" s="241"/>
      <c r="J283" s="241"/>
    </row>
    <row r="284" spans="1:10" ht="13.5" thickBot="1">
      <c r="A284" s="315" t="s">
        <v>365</v>
      </c>
      <c r="B284" s="329"/>
      <c r="C284" s="329"/>
      <c r="D284" s="329"/>
      <c r="E284" s="329"/>
      <c r="F284" s="329"/>
      <c r="I284" s="241"/>
      <c r="J284" s="241"/>
    </row>
    <row r="285" spans="1:10" ht="12" thickBot="1">
      <c r="A285" s="344" t="s">
        <v>298</v>
      </c>
      <c r="B285" s="330" t="s">
        <v>299</v>
      </c>
      <c r="C285" s="330" t="s">
        <v>295</v>
      </c>
      <c r="D285" s="330" t="s">
        <v>300</v>
      </c>
      <c r="E285" s="330" t="s">
        <v>301</v>
      </c>
      <c r="F285" s="331" t="s">
        <v>302</v>
      </c>
      <c r="I285" s="241"/>
      <c r="J285" s="241"/>
    </row>
    <row r="286" spans="1:10" ht="12" thickBot="1">
      <c r="A286" s="345" t="s">
        <v>346</v>
      </c>
      <c r="B286" s="346" t="s">
        <v>347</v>
      </c>
      <c r="C286" s="347">
        <f>C270</f>
        <v>0</v>
      </c>
      <c r="D286" s="348"/>
      <c r="E286" s="349">
        <f>C286*D286</f>
        <v>0</v>
      </c>
      <c r="F286" s="332"/>
      <c r="I286" s="241"/>
      <c r="J286" s="241"/>
    </row>
    <row r="287" spans="1:10" ht="13.5" thickBot="1">
      <c r="A287" s="333"/>
      <c r="B287" s="333"/>
      <c r="C287" s="333"/>
      <c r="D287" s="334"/>
      <c r="E287" s="334"/>
      <c r="F287" s="335">
        <f>E286</f>
        <v>0</v>
      </c>
      <c r="I287" s="241"/>
      <c r="J287" s="241"/>
    </row>
    <row r="288" spans="1:10" ht="11.25" customHeight="1" thickBot="1">
      <c r="G288" s="2"/>
    </row>
    <row r="289" spans="1:7" ht="12" thickBot="1">
      <c r="A289" s="228" t="s">
        <v>169</v>
      </c>
      <c r="B289" s="229"/>
      <c r="C289" s="229"/>
      <c r="D289" s="178"/>
      <c r="E289" s="230"/>
      <c r="F289" s="275">
        <f>+SUM(F192:F288)</f>
        <v>0</v>
      </c>
      <c r="G289" s="2"/>
    </row>
    <row r="290" spans="1:7" ht="11.25" customHeight="1">
      <c r="G290" s="2"/>
    </row>
    <row r="291" spans="1:7" ht="12" thickBot="1">
      <c r="A291" s="200" t="s">
        <v>310</v>
      </c>
      <c r="B291" s="200"/>
      <c r="C291" s="200"/>
      <c r="D291" s="199"/>
      <c r="E291" s="199"/>
      <c r="F291" s="256"/>
      <c r="G291" s="2"/>
    </row>
    <row r="292" spans="1:7" ht="12" thickBot="1">
      <c r="A292" s="202" t="s">
        <v>298</v>
      </c>
      <c r="B292" s="203" t="s">
        <v>299</v>
      </c>
      <c r="C292" s="203" t="s">
        <v>295</v>
      </c>
      <c r="D292" s="204" t="s">
        <v>300</v>
      </c>
      <c r="E292" s="204" t="s">
        <v>301</v>
      </c>
      <c r="F292" s="205" t="s">
        <v>302</v>
      </c>
      <c r="G292" s="2"/>
    </row>
    <row r="293" spans="1:7">
      <c r="A293" s="307" t="s">
        <v>52</v>
      </c>
      <c r="B293" s="210" t="s">
        <v>8</v>
      </c>
      <c r="C293" s="274"/>
      <c r="D293" s="264"/>
      <c r="E293" s="266">
        <f>C293*D293</f>
        <v>0</v>
      </c>
      <c r="F293" s="257"/>
      <c r="G293" s="2"/>
    </row>
    <row r="294" spans="1:7">
      <c r="A294" s="307" t="s">
        <v>24</v>
      </c>
      <c r="B294" s="210" t="s">
        <v>8</v>
      </c>
      <c r="C294" s="274"/>
      <c r="D294" s="264"/>
      <c r="E294" s="266">
        <f>C294*D294</f>
        <v>0</v>
      </c>
      <c r="F294" s="257"/>
      <c r="G294" s="2"/>
    </row>
    <row r="295" spans="1:7">
      <c r="A295" s="307" t="s">
        <v>25</v>
      </c>
      <c r="B295" s="210" t="s">
        <v>8</v>
      </c>
      <c r="C295" s="274"/>
      <c r="D295" s="264"/>
      <c r="E295" s="266">
        <f>C295*D295</f>
        <v>0</v>
      </c>
      <c r="F295" s="257"/>
      <c r="G295" s="2"/>
    </row>
    <row r="296" spans="1:7">
      <c r="A296" s="307" t="s">
        <v>45</v>
      </c>
      <c r="B296" s="210" t="s">
        <v>43</v>
      </c>
      <c r="C296" s="274"/>
      <c r="D296" s="264"/>
      <c r="E296" s="266">
        <f>C296*D296</f>
        <v>0</v>
      </c>
      <c r="F296" s="257"/>
      <c r="G296" s="2"/>
    </row>
    <row r="297" spans="1:7" ht="12" thickBot="1">
      <c r="A297" s="353" t="s">
        <v>366</v>
      </c>
      <c r="B297" s="210" t="s">
        <v>8</v>
      </c>
      <c r="C297" s="274">
        <v>2800</v>
      </c>
      <c r="D297" s="264"/>
      <c r="E297" s="266">
        <f>C297*D297</f>
        <v>0</v>
      </c>
      <c r="F297" s="257"/>
      <c r="G297" s="2"/>
    </row>
    <row r="298" spans="1:7" ht="12" thickBot="1">
      <c r="A298" s="200"/>
      <c r="B298" s="200"/>
      <c r="C298" s="200"/>
      <c r="D298" s="200"/>
      <c r="E298" s="199"/>
      <c r="F298" s="275">
        <f>SUM(E293:E297)</f>
        <v>0</v>
      </c>
      <c r="G298" s="2"/>
    </row>
    <row r="299" spans="1:7" ht="11.25" customHeight="1" thickBot="1">
      <c r="G299" s="2"/>
    </row>
    <row r="300" spans="1:7" ht="12" thickBot="1">
      <c r="A300" s="228" t="s">
        <v>170</v>
      </c>
      <c r="B300" s="229"/>
      <c r="C300" s="229"/>
      <c r="D300" s="178"/>
      <c r="E300" s="230"/>
      <c r="F300" s="237">
        <f>+F298</f>
        <v>0</v>
      </c>
      <c r="G300" s="2"/>
    </row>
    <row r="301" spans="1:7" ht="11.25" customHeight="1">
      <c r="G301" s="2"/>
    </row>
    <row r="302" spans="1:7" ht="12" thickBot="1">
      <c r="A302" s="200" t="s">
        <v>311</v>
      </c>
      <c r="B302" s="200"/>
      <c r="C302" s="200"/>
      <c r="D302" s="199"/>
      <c r="E302" s="199"/>
      <c r="F302" s="256"/>
    </row>
    <row r="303" spans="1:7" ht="12" thickBot="1">
      <c r="A303" s="202" t="s">
        <v>298</v>
      </c>
      <c r="B303" s="203" t="s">
        <v>299</v>
      </c>
      <c r="C303" s="203" t="s">
        <v>295</v>
      </c>
      <c r="D303" s="204" t="s">
        <v>300</v>
      </c>
      <c r="E303" s="204" t="s">
        <v>301</v>
      </c>
      <c r="F303" s="205" t="s">
        <v>302</v>
      </c>
    </row>
    <row r="304" spans="1:7">
      <c r="A304" s="307" t="s">
        <v>167</v>
      </c>
      <c r="B304" s="210" t="s">
        <v>43</v>
      </c>
      <c r="C304" s="233">
        <f>C192</f>
        <v>0</v>
      </c>
      <c r="D304" s="265"/>
      <c r="E304" s="266">
        <f>+D304*C304</f>
        <v>0</v>
      </c>
      <c r="F304" s="257"/>
    </row>
    <row r="305" spans="1:8">
      <c r="A305" s="307" t="s">
        <v>46</v>
      </c>
      <c r="B305" s="210" t="s">
        <v>6</v>
      </c>
      <c r="C305" s="258">
        <v>12</v>
      </c>
      <c r="D305" s="265">
        <f>SUM(E304:E304)</f>
        <v>0</v>
      </c>
      <c r="E305" s="266">
        <f>+D305/C305</f>
        <v>0</v>
      </c>
      <c r="F305" s="257"/>
    </row>
    <row r="306" spans="1:8">
      <c r="A306" s="307" t="s">
        <v>168</v>
      </c>
      <c r="B306" s="210" t="s">
        <v>8</v>
      </c>
      <c r="C306" s="233">
        <f>+C304</f>
        <v>0</v>
      </c>
      <c r="D306" s="265"/>
      <c r="E306" s="266">
        <f>C306*D306</f>
        <v>0</v>
      </c>
      <c r="F306" s="257"/>
    </row>
    <row r="307" spans="1:8" ht="12" thickBot="1">
      <c r="A307" s="307" t="s">
        <v>32</v>
      </c>
      <c r="B307" s="210" t="s">
        <v>6</v>
      </c>
      <c r="C307" s="258">
        <v>1</v>
      </c>
      <c r="D307" s="266">
        <f>+E306</f>
        <v>0</v>
      </c>
      <c r="E307" s="266">
        <f>+D307/C307</f>
        <v>0</v>
      </c>
      <c r="F307" s="257"/>
    </row>
    <row r="308" spans="1:8" ht="12" thickBot="1">
      <c r="A308" s="3"/>
      <c r="B308" s="3"/>
      <c r="C308" s="3"/>
      <c r="D308" s="217" t="s">
        <v>156</v>
      </c>
      <c r="E308" s="218">
        <f>$B$63</f>
        <v>0</v>
      </c>
      <c r="F308" s="275">
        <f>(E305+E307)*E308</f>
        <v>0</v>
      </c>
    </row>
    <row r="309" spans="1:8" s="260" customFormat="1" ht="11.25" customHeight="1" thickBot="1">
      <c r="A309" s="2"/>
      <c r="B309" s="2"/>
      <c r="C309" s="2"/>
      <c r="D309" s="41"/>
      <c r="E309" s="41"/>
      <c r="F309" s="41"/>
      <c r="G309" s="259"/>
    </row>
    <row r="310" spans="1:8" ht="12" thickBot="1">
      <c r="A310" s="228" t="s">
        <v>166</v>
      </c>
      <c r="B310" s="229"/>
      <c r="C310" s="229"/>
      <c r="D310" s="178"/>
      <c r="E310" s="230"/>
      <c r="F310" s="237">
        <f>+F308</f>
        <v>0</v>
      </c>
      <c r="G310" s="2"/>
    </row>
    <row r="311" spans="1:8" ht="11.25" customHeight="1" thickBot="1"/>
    <row r="312" spans="1:8" ht="17.25" customHeight="1" thickBot="1">
      <c r="A312" s="228" t="s">
        <v>171</v>
      </c>
      <c r="B312" s="234"/>
      <c r="C312" s="234"/>
      <c r="D312" s="235"/>
      <c r="E312" s="236"/>
      <c r="F312" s="270" t="e">
        <f>+F161+F186+F289+F300+F310</f>
        <v>#VALUE!</v>
      </c>
      <c r="G312" s="2"/>
    </row>
    <row r="313" spans="1:8" ht="11.25" customHeight="1"/>
    <row r="314" spans="1:8" ht="12" thickBot="1">
      <c r="A314" s="39" t="s">
        <v>312</v>
      </c>
    </row>
    <row r="315" spans="1:8" ht="12" thickBot="1">
      <c r="A315" s="202" t="s">
        <v>298</v>
      </c>
      <c r="B315" s="203" t="s">
        <v>299</v>
      </c>
      <c r="C315" s="203" t="s">
        <v>295</v>
      </c>
      <c r="D315" s="204" t="s">
        <v>300</v>
      </c>
      <c r="E315" s="204" t="s">
        <v>301</v>
      </c>
      <c r="F315" s="205" t="s">
        <v>302</v>
      </c>
    </row>
    <row r="316" spans="1:8" ht="12" thickBot="1">
      <c r="A316" s="314" t="s">
        <v>31</v>
      </c>
      <c r="B316" s="207" t="s">
        <v>1</v>
      </c>
      <c r="C316" s="212">
        <f>'4.BDI'!C13*100</f>
        <v>0</v>
      </c>
      <c r="D316" s="263" t="e">
        <f>+F312</f>
        <v>#VALUE!</v>
      </c>
      <c r="E316" s="263" t="e">
        <f>C316*D316/100</f>
        <v>#VALUE!</v>
      </c>
      <c r="G316" s="2"/>
      <c r="H316" s="355"/>
    </row>
    <row r="317" spans="1:8" ht="12" thickBot="1">
      <c r="F317" s="275" t="e">
        <f>+E316</f>
        <v>#VALUE!</v>
      </c>
      <c r="G317" s="2"/>
    </row>
    <row r="318" spans="1:8" ht="11.25" customHeight="1" thickBot="1"/>
    <row r="319" spans="1:8" ht="12" thickBot="1">
      <c r="A319" s="228" t="s">
        <v>182</v>
      </c>
      <c r="B319" s="234"/>
      <c r="C319" s="234"/>
      <c r="D319" s="235"/>
      <c r="E319" s="236"/>
      <c r="F319" s="270" t="e">
        <f>F317</f>
        <v>#VALUE!</v>
      </c>
      <c r="G319" s="2"/>
    </row>
    <row r="320" spans="1:8">
      <c r="A320" s="200"/>
      <c r="B320" s="200"/>
      <c r="C320" s="200"/>
      <c r="D320" s="199"/>
      <c r="E320" s="199"/>
      <c r="F320" s="256"/>
    </row>
    <row r="321" spans="1:7" ht="11.25" customHeight="1" thickBot="1"/>
    <row r="322" spans="1:7" ht="12" thickBot="1">
      <c r="A322" s="228" t="s">
        <v>172</v>
      </c>
      <c r="B322" s="234"/>
      <c r="C322" s="234"/>
      <c r="D322" s="235"/>
      <c r="E322" s="236"/>
      <c r="F322" s="270" t="e">
        <f>F312+F319</f>
        <v>#VALUE!</v>
      </c>
      <c r="G322" s="2"/>
    </row>
    <row r="323" spans="1:7" ht="9.75" customHeight="1">
      <c r="A323" s="171"/>
      <c r="B323" s="41"/>
      <c r="C323" s="41"/>
    </row>
    <row r="353" spans="4:7" ht="9" customHeight="1">
      <c r="D353" s="2"/>
      <c r="E353" s="2"/>
      <c r="F353" s="2"/>
      <c r="G353" s="2"/>
    </row>
  </sheetData>
  <mergeCells count="15">
    <mergeCell ref="A59:D59"/>
    <mergeCell ref="A32:C32"/>
    <mergeCell ref="A52:D52"/>
    <mergeCell ref="A19:F19"/>
    <mergeCell ref="A51:E51"/>
    <mergeCell ref="A1:F1"/>
    <mergeCell ref="A2:F2"/>
    <mergeCell ref="A3:F3"/>
    <mergeCell ref="A5:F5"/>
    <mergeCell ref="A6:F6"/>
    <mergeCell ref="A13:F13"/>
    <mergeCell ref="A7:F7"/>
    <mergeCell ref="A11:F11"/>
    <mergeCell ref="A12:F12"/>
    <mergeCell ref="A9:F9"/>
  </mergeCells>
  <phoneticPr fontId="6" type="noConversion"/>
  <hyperlinks>
    <hyperlink ref="A206" location="AbaRemun" display="3.1.2. Remuneração do Capital"/>
    <hyperlink ref="A190" location="AbaDeprec" display="3.1.1. Depreciação"/>
    <hyperlink ref="A273" location="AbaRemun" display="3.1.2. Remuneração do Capital"/>
    <hyperlink ref="A263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5" fitToHeight="0" orientation="portrait" r:id="rId1"/>
  <headerFooter alignWithMargins="0">
    <oddFooter>&amp;R&amp;P de &amp;N</oddFooter>
  </headerFooter>
  <rowBreaks count="4" manualBreakCount="4">
    <brk id="65" max="5" man="1"/>
    <brk id="110" max="5" man="1"/>
    <brk id="187" max="5" man="1"/>
    <brk id="252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2"/>
  <sheetViews>
    <sheetView showGridLines="0" workbookViewId="0">
      <selection sqref="A1:C1"/>
    </sheetView>
  </sheetViews>
  <sheetFormatPr defaultRowHeight="11.25"/>
  <cols>
    <col min="1" max="1" width="13.5703125" style="40" customWidth="1"/>
    <col min="2" max="2" width="39.5703125" style="40" bestFit="1" customWidth="1"/>
    <col min="3" max="3" width="14.5703125" style="40" customWidth="1"/>
    <col min="4" max="4" width="17.85546875" style="79" customWidth="1"/>
    <col min="5" max="10" width="9.140625" style="40"/>
    <col min="11" max="11" width="11" style="40" bestFit="1" customWidth="1"/>
    <col min="12" max="16384" width="9.140625" style="40"/>
  </cols>
  <sheetData>
    <row r="1" spans="1:12">
      <c r="A1" s="390" t="s">
        <v>175</v>
      </c>
      <c r="B1" s="391"/>
      <c r="C1" s="392"/>
      <c r="D1" s="127"/>
      <c r="E1" s="127"/>
      <c r="F1" s="127"/>
    </row>
    <row r="2" spans="1:12">
      <c r="A2" s="128" t="s">
        <v>102</v>
      </c>
      <c r="B2" s="129" t="s">
        <v>103</v>
      </c>
      <c r="C2" s="130" t="s">
        <v>104</v>
      </c>
      <c r="D2" s="131"/>
    </row>
    <row r="3" spans="1:12">
      <c r="A3" s="128" t="s">
        <v>105</v>
      </c>
      <c r="B3" s="129" t="s">
        <v>33</v>
      </c>
      <c r="C3" s="132">
        <v>0.2</v>
      </c>
      <c r="D3" s="131"/>
      <c r="F3" s="79"/>
      <c r="G3" s="79"/>
      <c r="H3" s="79"/>
      <c r="I3" s="79"/>
      <c r="J3" s="79"/>
      <c r="K3" s="79"/>
      <c r="L3" s="79"/>
    </row>
    <row r="4" spans="1:12">
      <c r="A4" s="128" t="s">
        <v>106</v>
      </c>
      <c r="B4" s="129" t="s">
        <v>107</v>
      </c>
      <c r="C4" s="132">
        <v>1.4999999999999999E-2</v>
      </c>
      <c r="D4" s="131"/>
      <c r="F4" s="79"/>
      <c r="G4" s="79"/>
      <c r="H4" s="79"/>
      <c r="I4" s="79"/>
      <c r="J4" s="79"/>
      <c r="K4" s="79"/>
      <c r="L4" s="79"/>
    </row>
    <row r="5" spans="1:12">
      <c r="A5" s="128" t="s">
        <v>108</v>
      </c>
      <c r="B5" s="129" t="s">
        <v>109</v>
      </c>
      <c r="C5" s="132">
        <v>0.01</v>
      </c>
      <c r="D5" s="131"/>
      <c r="F5" s="79"/>
      <c r="G5" s="79"/>
      <c r="H5" s="79"/>
      <c r="I5" s="79"/>
      <c r="J5" s="79"/>
      <c r="K5" s="79"/>
      <c r="L5" s="79"/>
    </row>
    <row r="6" spans="1:12">
      <c r="A6" s="128" t="s">
        <v>110</v>
      </c>
      <c r="B6" s="129" t="s">
        <v>111</v>
      </c>
      <c r="C6" s="132">
        <v>2E-3</v>
      </c>
      <c r="D6" s="131"/>
      <c r="F6" s="79"/>
      <c r="G6" s="79"/>
      <c r="H6" s="79"/>
      <c r="I6" s="79"/>
      <c r="J6" s="79"/>
      <c r="K6" s="79"/>
      <c r="L6" s="79"/>
    </row>
    <row r="7" spans="1:12">
      <c r="A7" s="128" t="s">
        <v>112</v>
      </c>
      <c r="B7" s="129" t="s">
        <v>113</v>
      </c>
      <c r="C7" s="132">
        <v>6.0000000000000001E-3</v>
      </c>
      <c r="D7" s="131"/>
      <c r="F7" s="79"/>
      <c r="G7" s="79"/>
      <c r="H7" s="79"/>
      <c r="I7" s="79"/>
      <c r="J7" s="79"/>
      <c r="K7" s="79"/>
      <c r="L7" s="79"/>
    </row>
    <row r="8" spans="1:12">
      <c r="A8" s="128" t="s">
        <v>114</v>
      </c>
      <c r="B8" s="129" t="s">
        <v>115</v>
      </c>
      <c r="C8" s="132">
        <v>2.5000000000000001E-2</v>
      </c>
      <c r="D8" s="131"/>
      <c r="F8" s="79"/>
      <c r="G8" s="79"/>
      <c r="H8" s="79"/>
      <c r="I8" s="79"/>
      <c r="J8" s="79"/>
      <c r="K8" s="79"/>
      <c r="L8" s="79"/>
    </row>
    <row r="9" spans="1:12">
      <c r="A9" s="128" t="s">
        <v>116</v>
      </c>
      <c r="B9" s="129" t="s">
        <v>117</v>
      </c>
      <c r="C9" s="132">
        <v>0.03</v>
      </c>
      <c r="D9" s="131"/>
      <c r="F9" s="79"/>
      <c r="G9" s="79"/>
      <c r="H9" s="79"/>
      <c r="I9" s="79"/>
      <c r="J9" s="79"/>
      <c r="K9" s="79"/>
      <c r="L9" s="79"/>
    </row>
    <row r="10" spans="1:12">
      <c r="A10" s="128" t="s">
        <v>118</v>
      </c>
      <c r="B10" s="129" t="s">
        <v>34</v>
      </c>
      <c r="C10" s="132">
        <v>0.08</v>
      </c>
      <c r="D10" s="133"/>
      <c r="F10" s="79"/>
      <c r="G10" s="79"/>
      <c r="H10" s="79"/>
      <c r="I10" s="79"/>
      <c r="J10" s="79"/>
      <c r="K10" s="79"/>
      <c r="L10" s="79"/>
    </row>
    <row r="11" spans="1:12">
      <c r="A11" s="128" t="s">
        <v>119</v>
      </c>
      <c r="B11" s="134" t="s">
        <v>120</v>
      </c>
      <c r="C11" s="135">
        <f>SUM(C3:C10)</f>
        <v>0.36800000000000005</v>
      </c>
      <c r="D11" s="133"/>
      <c r="F11" s="79"/>
      <c r="G11" s="79"/>
      <c r="H11" s="79"/>
      <c r="I11" s="79"/>
      <c r="J11" s="79"/>
      <c r="K11" s="79"/>
      <c r="L11" s="79"/>
    </row>
    <row r="12" spans="1:12">
      <c r="A12" s="136"/>
      <c r="B12" s="137"/>
      <c r="C12" s="138"/>
      <c r="D12" s="133"/>
      <c r="F12" s="79"/>
      <c r="G12" s="79"/>
      <c r="H12" s="79"/>
      <c r="I12" s="79"/>
      <c r="J12" s="79"/>
      <c r="K12" s="79"/>
      <c r="L12" s="79"/>
    </row>
    <row r="13" spans="1:12">
      <c r="A13" s="128" t="s">
        <v>121</v>
      </c>
      <c r="B13" s="139" t="s">
        <v>122</v>
      </c>
      <c r="C13" s="132">
        <f>ROUND(IF('3.CAGED'!C32&gt;24,(1-12/'3.CAGED'!C32)*0.1111,0.1111-C22),4)</f>
        <v>6.5699999999999995E-2</v>
      </c>
      <c r="D13" s="133"/>
      <c r="F13" s="79"/>
      <c r="G13" s="79"/>
      <c r="H13" s="79"/>
      <c r="I13" s="79"/>
      <c r="J13" s="79"/>
      <c r="K13" s="79"/>
      <c r="L13" s="79"/>
    </row>
    <row r="14" spans="1:12">
      <c r="A14" s="128" t="s">
        <v>123</v>
      </c>
      <c r="B14" s="139" t="s">
        <v>124</v>
      </c>
      <c r="C14" s="132">
        <f>ROUND('3.CAGED'!C36/'3.CAGED'!C33,4)</f>
        <v>8.3299999999999999E-2</v>
      </c>
      <c r="D14" s="133"/>
      <c r="F14" s="79"/>
      <c r="G14" s="79"/>
      <c r="H14" s="79"/>
      <c r="I14" s="79"/>
      <c r="J14" s="79"/>
      <c r="K14" s="79"/>
      <c r="L14" s="79"/>
    </row>
    <row r="15" spans="1:12">
      <c r="A15" s="128" t="s">
        <v>165</v>
      </c>
      <c r="B15" s="139" t="s">
        <v>126</v>
      </c>
      <c r="C15" s="132">
        <v>5.9999999999999995E-4</v>
      </c>
      <c r="D15" s="133"/>
      <c r="F15" s="79"/>
      <c r="G15" s="79"/>
      <c r="H15" s="79"/>
      <c r="I15" s="79"/>
      <c r="J15" s="79"/>
      <c r="K15" s="79"/>
      <c r="L15" s="79"/>
    </row>
    <row r="16" spans="1:12">
      <c r="A16" s="128" t="s">
        <v>125</v>
      </c>
      <c r="B16" s="139" t="s">
        <v>128</v>
      </c>
      <c r="C16" s="132">
        <v>8.2000000000000007E-3</v>
      </c>
      <c r="D16" s="133"/>
      <c r="F16" s="79"/>
      <c r="G16" s="79"/>
      <c r="H16" s="79"/>
      <c r="I16" s="79"/>
      <c r="J16" s="79"/>
      <c r="K16" s="79"/>
      <c r="L16" s="79"/>
    </row>
    <row r="17" spans="1:12">
      <c r="A17" s="128" t="s">
        <v>127</v>
      </c>
      <c r="B17" s="139" t="s">
        <v>130</v>
      </c>
      <c r="C17" s="132">
        <v>3.0999999999999999E-3</v>
      </c>
      <c r="D17" s="133"/>
      <c r="F17" s="79"/>
      <c r="G17" s="79"/>
      <c r="H17" s="79"/>
      <c r="I17" s="79"/>
      <c r="J17" s="79"/>
      <c r="K17" s="79"/>
      <c r="L17" s="79"/>
    </row>
    <row r="18" spans="1:12">
      <c r="A18" s="128" t="s">
        <v>129</v>
      </c>
      <c r="B18" s="139" t="s">
        <v>131</v>
      </c>
      <c r="C18" s="132">
        <v>1.66E-2</v>
      </c>
      <c r="D18" s="133"/>
      <c r="F18" s="79"/>
      <c r="G18" s="79"/>
      <c r="H18" s="79"/>
      <c r="I18" s="79"/>
      <c r="J18" s="79"/>
      <c r="K18" s="79"/>
      <c r="L18" s="79"/>
    </row>
    <row r="19" spans="1:12">
      <c r="A19" s="128" t="s">
        <v>132</v>
      </c>
      <c r="B19" s="134" t="s">
        <v>133</v>
      </c>
      <c r="C19" s="135">
        <f>SUM(C13:C18)</f>
        <v>0.17749999999999999</v>
      </c>
      <c r="D19" s="133"/>
      <c r="F19" s="79"/>
      <c r="G19" s="79"/>
      <c r="H19" s="79"/>
      <c r="I19" s="79"/>
      <c r="J19" s="79"/>
      <c r="K19" s="79"/>
      <c r="L19" s="79"/>
    </row>
    <row r="20" spans="1:12">
      <c r="A20" s="136"/>
      <c r="B20" s="137"/>
      <c r="C20" s="138"/>
      <c r="D20" s="133"/>
      <c r="F20" s="79"/>
      <c r="G20" s="79"/>
      <c r="H20" s="79"/>
      <c r="I20" s="79"/>
      <c r="J20" s="79"/>
      <c r="K20" s="79"/>
      <c r="L20" s="79"/>
    </row>
    <row r="21" spans="1:12">
      <c r="A21" s="128" t="s">
        <v>134</v>
      </c>
      <c r="B21" s="129" t="s">
        <v>135</v>
      </c>
      <c r="C21" s="132">
        <f>ROUND(('3.CAGED'!C37) *'3.CAGED'!C30/'3.CAGED'!C33,4)</f>
        <v>2.9000000000000001E-2</v>
      </c>
      <c r="D21" s="133"/>
      <c r="E21" s="140"/>
      <c r="F21" s="79"/>
      <c r="G21" s="79"/>
      <c r="H21" s="79"/>
      <c r="I21" s="79"/>
      <c r="J21" s="79"/>
      <c r="K21" s="79"/>
      <c r="L21" s="79"/>
    </row>
    <row r="22" spans="1:12">
      <c r="A22" s="128" t="s">
        <v>164</v>
      </c>
      <c r="B22" s="129" t="s">
        <v>137</v>
      </c>
      <c r="C22" s="132">
        <f>ROUND(IF('3.CAGED'!C32&gt;12,12/'3.CAGED'!C32*0.1111,0.1111),4)</f>
        <v>4.5400000000000003E-2</v>
      </c>
      <c r="D22" s="133"/>
      <c r="F22" s="79"/>
      <c r="G22" s="79"/>
      <c r="H22" s="141"/>
      <c r="I22" s="79"/>
      <c r="J22" s="79"/>
      <c r="K22" s="79"/>
      <c r="L22" s="79"/>
    </row>
    <row r="23" spans="1:12">
      <c r="A23" s="128" t="s">
        <v>136</v>
      </c>
      <c r="B23" s="129" t="s">
        <v>139</v>
      </c>
      <c r="C23" s="132">
        <f>C21*C22</f>
        <v>1.3166000000000002E-3</v>
      </c>
      <c r="D23" s="133"/>
      <c r="E23" s="140"/>
      <c r="F23" s="79"/>
      <c r="G23" s="79"/>
      <c r="H23" s="79"/>
      <c r="I23" s="79"/>
      <c r="J23" s="79"/>
      <c r="K23" s="79"/>
      <c r="L23" s="79"/>
    </row>
    <row r="24" spans="1:12">
      <c r="A24" s="128" t="s">
        <v>138</v>
      </c>
      <c r="B24" s="129" t="s">
        <v>141</v>
      </c>
      <c r="C24" s="132">
        <f>ROUND(('3.CAGED'!C33+'3.CAGED'!C34+'3.CAGED'!C36)/'3.CAGED'!C31*'3.CAGED'!C38*'3.CAGED'!C39*'3.CAGED'!C30/'3.CAGED'!C33,4)</f>
        <v>3.15E-2</v>
      </c>
      <c r="D24" s="133"/>
      <c r="F24" s="79"/>
      <c r="G24" s="142"/>
      <c r="H24" s="79"/>
      <c r="I24" s="79"/>
      <c r="J24" s="79"/>
      <c r="K24" s="79"/>
      <c r="L24" s="79"/>
    </row>
    <row r="25" spans="1:12">
      <c r="A25" s="128" t="s">
        <v>140</v>
      </c>
      <c r="B25" s="129" t="s">
        <v>142</v>
      </c>
      <c r="C25" s="132">
        <f>ROUND(('3.CAGED'!C35/'3.CAGED'!C33)*'3.CAGED'!C30/12,4)</f>
        <v>2E-3</v>
      </c>
      <c r="D25" s="133"/>
      <c r="F25" s="79"/>
      <c r="G25" s="79"/>
      <c r="H25" s="79"/>
      <c r="I25" s="79"/>
      <c r="J25" s="79"/>
      <c r="K25" s="79"/>
      <c r="L25" s="79"/>
    </row>
    <row r="26" spans="1:12">
      <c r="A26" s="128" t="s">
        <v>143</v>
      </c>
      <c r="B26" s="134" t="s">
        <v>144</v>
      </c>
      <c r="C26" s="135">
        <f>SUM(C21:C25)</f>
        <v>0.10921660000000001</v>
      </c>
      <c r="D26" s="133"/>
      <c r="F26" s="79"/>
      <c r="G26" s="79"/>
      <c r="H26" s="79"/>
      <c r="I26" s="79"/>
      <c r="J26" s="79"/>
      <c r="K26" s="79"/>
      <c r="L26" s="79"/>
    </row>
    <row r="27" spans="1:12">
      <c r="A27" s="136"/>
      <c r="B27" s="137"/>
      <c r="C27" s="138"/>
      <c r="D27" s="133"/>
      <c r="F27" s="79"/>
      <c r="G27" s="79"/>
      <c r="H27" s="79"/>
      <c r="I27" s="79"/>
      <c r="J27" s="79"/>
      <c r="K27" s="79"/>
      <c r="L27" s="79"/>
    </row>
    <row r="28" spans="1:12">
      <c r="A28" s="128" t="s">
        <v>145</v>
      </c>
      <c r="B28" s="129" t="s">
        <v>146</v>
      </c>
      <c r="C28" s="132">
        <f>ROUND(C11*C19,4)</f>
        <v>6.5299999999999997E-2</v>
      </c>
      <c r="D28" s="133"/>
      <c r="F28" s="79"/>
      <c r="G28" s="79"/>
      <c r="H28" s="79"/>
      <c r="I28" s="79"/>
      <c r="J28" s="79"/>
      <c r="K28" s="79"/>
      <c r="L28" s="79"/>
    </row>
    <row r="29" spans="1:12">
      <c r="A29" s="128" t="s">
        <v>147</v>
      </c>
      <c r="B29" s="143" t="s">
        <v>215</v>
      </c>
      <c r="C29" s="132">
        <f>ROUND((C21*C10),4)</f>
        <v>2.3E-3</v>
      </c>
      <c r="D29" s="133"/>
      <c r="F29" s="79"/>
      <c r="G29" s="79"/>
      <c r="H29" s="79"/>
      <c r="I29" s="79"/>
      <c r="J29" s="79"/>
      <c r="K29" s="79"/>
      <c r="L29" s="79"/>
    </row>
    <row r="30" spans="1:12">
      <c r="A30" s="128" t="s">
        <v>148</v>
      </c>
      <c r="B30" s="134" t="s">
        <v>149</v>
      </c>
      <c r="C30" s="135">
        <f>SUM(C28:C29)</f>
        <v>6.7599999999999993E-2</v>
      </c>
      <c r="D30" s="131"/>
      <c r="F30" s="79"/>
      <c r="G30" s="79"/>
      <c r="H30" s="79"/>
      <c r="I30" s="79"/>
      <c r="J30" s="79"/>
      <c r="K30" s="79"/>
      <c r="L30" s="79"/>
    </row>
    <row r="31" spans="1:12" ht="12" thickBot="1">
      <c r="A31" s="144"/>
      <c r="B31" s="145" t="s">
        <v>150</v>
      </c>
      <c r="C31" s="146">
        <f>C30+C26+C19+C11</f>
        <v>0.72231660000000009</v>
      </c>
      <c r="D31" s="131"/>
      <c r="F31" s="79"/>
      <c r="G31" s="79"/>
      <c r="H31" s="79"/>
      <c r="I31" s="79"/>
      <c r="J31" s="79"/>
      <c r="K31" s="79"/>
      <c r="L31" s="79"/>
    </row>
    <row r="32" spans="1:12">
      <c r="A32" s="133"/>
      <c r="B32" s="147"/>
      <c r="C32" s="148"/>
      <c r="D32" s="149"/>
      <c r="F32" s="79"/>
      <c r="G32" s="79"/>
      <c r="H32" s="79"/>
      <c r="I32" s="79"/>
      <c r="J32" s="79"/>
      <c r="K32" s="79"/>
      <c r="L32" s="79"/>
    </row>
    <row r="33" spans="1:12">
      <c r="A33" s="133"/>
      <c r="B33" s="133"/>
      <c r="C33" s="150"/>
      <c r="D33" s="149"/>
      <c r="F33" s="79"/>
      <c r="G33" s="79"/>
      <c r="H33" s="79"/>
      <c r="I33" s="79"/>
      <c r="J33" s="79"/>
      <c r="K33" s="79"/>
      <c r="L33" s="79"/>
    </row>
    <row r="34" spans="1:12">
      <c r="A34" s="131"/>
      <c r="B34" s="131"/>
      <c r="C34" s="151"/>
      <c r="D34" s="131"/>
      <c r="F34" s="79"/>
      <c r="G34" s="79"/>
      <c r="H34" s="79"/>
      <c r="I34" s="79"/>
      <c r="J34" s="79"/>
      <c r="K34" s="79"/>
      <c r="L34" s="79"/>
    </row>
    <row r="35" spans="1:12">
      <c r="A35" s="131"/>
      <c r="B35" s="131"/>
      <c r="C35" s="151"/>
      <c r="D35" s="131"/>
      <c r="F35" s="79"/>
      <c r="G35" s="79"/>
      <c r="H35" s="79"/>
      <c r="I35" s="79"/>
      <c r="J35" s="79"/>
      <c r="K35" s="79"/>
      <c r="L35" s="79"/>
    </row>
    <row r="36" spans="1:12">
      <c r="A36" s="131"/>
      <c r="B36" s="131"/>
      <c r="C36" s="151"/>
      <c r="D36" s="131"/>
      <c r="F36" s="79"/>
      <c r="G36" s="79"/>
      <c r="H36" s="79"/>
      <c r="I36" s="79"/>
      <c r="J36" s="79"/>
      <c r="K36" s="79"/>
      <c r="L36" s="79"/>
    </row>
    <row r="37" spans="1:12">
      <c r="A37" s="131"/>
      <c r="B37" s="152"/>
      <c r="C37" s="153"/>
      <c r="D37" s="131"/>
      <c r="F37" s="79"/>
      <c r="G37" s="79"/>
      <c r="H37" s="79"/>
      <c r="I37" s="79"/>
      <c r="J37" s="79"/>
      <c r="K37" s="79"/>
      <c r="L37" s="79"/>
    </row>
    <row r="38" spans="1:12">
      <c r="A38" s="131"/>
      <c r="B38" s="152"/>
      <c r="C38" s="153"/>
      <c r="D38" s="131"/>
      <c r="E38" s="79"/>
      <c r="F38" s="79"/>
      <c r="G38" s="79"/>
      <c r="H38" s="79"/>
      <c r="I38" s="79"/>
      <c r="J38" s="79"/>
      <c r="K38" s="79"/>
      <c r="L38" s="79"/>
    </row>
    <row r="39" spans="1:12">
      <c r="A39" s="154"/>
      <c r="B39" s="79"/>
      <c r="C39" s="79"/>
      <c r="E39" s="79"/>
      <c r="F39" s="79"/>
      <c r="G39" s="79"/>
      <c r="H39" s="79"/>
      <c r="I39" s="79"/>
      <c r="J39" s="79"/>
      <c r="K39" s="79"/>
      <c r="L39" s="79"/>
    </row>
    <row r="40" spans="1:12">
      <c r="A40" s="155"/>
      <c r="B40" s="156"/>
      <c r="C40" s="156"/>
      <c r="E40" s="79"/>
      <c r="F40" s="79"/>
      <c r="G40" s="79"/>
      <c r="H40" s="79"/>
      <c r="I40" s="79"/>
      <c r="J40" s="79"/>
      <c r="K40" s="79"/>
      <c r="L40" s="79"/>
    </row>
    <row r="41" spans="1:12">
      <c r="A41" s="131"/>
      <c r="B41" s="157"/>
      <c r="C41" s="156"/>
      <c r="E41" s="79"/>
      <c r="F41" s="79"/>
      <c r="G41" s="79"/>
      <c r="H41" s="79"/>
      <c r="I41" s="79"/>
      <c r="J41" s="79"/>
      <c r="K41" s="79"/>
      <c r="L41" s="79"/>
    </row>
    <row r="42" spans="1:12">
      <c r="A42" s="131"/>
      <c r="B42" s="157"/>
      <c r="C42" s="131"/>
      <c r="E42" s="79"/>
      <c r="F42" s="79"/>
      <c r="G42" s="79"/>
      <c r="H42" s="79"/>
      <c r="I42" s="79"/>
      <c r="J42" s="79"/>
      <c r="K42" s="79"/>
      <c r="L42" s="79"/>
    </row>
    <row r="43" spans="1:12">
      <c r="A43" s="131"/>
      <c r="B43" s="151"/>
      <c r="C43" s="156"/>
      <c r="E43" s="79"/>
      <c r="F43" s="79"/>
      <c r="G43" s="79"/>
      <c r="H43" s="79"/>
      <c r="I43" s="79"/>
      <c r="J43" s="79"/>
      <c r="K43" s="79"/>
      <c r="L43" s="79"/>
    </row>
    <row r="44" spans="1:12">
      <c r="A44" s="131"/>
      <c r="B44" s="157"/>
      <c r="C44" s="131"/>
      <c r="E44" s="79"/>
      <c r="F44" s="79"/>
      <c r="G44" s="79"/>
      <c r="H44" s="79"/>
      <c r="I44" s="79"/>
      <c r="J44" s="79"/>
      <c r="K44" s="79"/>
      <c r="L44" s="79"/>
    </row>
    <row r="45" spans="1:12">
      <c r="A45" s="131"/>
      <c r="B45" s="151"/>
      <c r="C45" s="156"/>
      <c r="E45" s="79"/>
      <c r="F45" s="79"/>
      <c r="G45" s="79"/>
      <c r="H45" s="79"/>
      <c r="I45" s="79"/>
      <c r="J45" s="79"/>
      <c r="K45" s="79"/>
      <c r="L45" s="79"/>
    </row>
    <row r="46" spans="1:12">
      <c r="A46" s="131"/>
      <c r="B46" s="157"/>
      <c r="C46" s="131"/>
      <c r="E46" s="79"/>
      <c r="F46" s="79"/>
      <c r="G46" s="79"/>
      <c r="H46" s="79"/>
      <c r="I46" s="79"/>
      <c r="J46" s="79"/>
      <c r="K46" s="79"/>
      <c r="L46" s="79"/>
    </row>
    <row r="47" spans="1:12">
      <c r="A47" s="131"/>
      <c r="B47" s="151"/>
      <c r="C47" s="156"/>
      <c r="E47" s="79"/>
      <c r="F47" s="79"/>
      <c r="G47" s="79"/>
      <c r="H47" s="79"/>
      <c r="I47" s="79"/>
      <c r="J47" s="79"/>
      <c r="K47" s="79"/>
      <c r="L47" s="79"/>
    </row>
    <row r="48" spans="1:12">
      <c r="A48" s="131"/>
      <c r="B48" s="157"/>
      <c r="C48" s="131"/>
      <c r="E48" s="79"/>
      <c r="F48" s="79"/>
      <c r="G48" s="79"/>
      <c r="H48" s="79"/>
      <c r="I48" s="79"/>
      <c r="J48" s="79"/>
      <c r="K48" s="79"/>
      <c r="L48" s="79"/>
    </row>
    <row r="49" spans="1:12">
      <c r="A49" s="131"/>
      <c r="B49" s="151"/>
      <c r="C49" s="156"/>
      <c r="E49" s="79"/>
      <c r="F49" s="79"/>
      <c r="G49" s="79"/>
      <c r="H49" s="79"/>
      <c r="I49" s="79"/>
      <c r="J49" s="79"/>
      <c r="K49" s="79"/>
      <c r="L49" s="79"/>
    </row>
    <row r="50" spans="1:12">
      <c r="A50" s="154"/>
      <c r="B50" s="79"/>
      <c r="C50" s="79"/>
      <c r="E50" s="79"/>
      <c r="F50" s="79"/>
      <c r="G50" s="79"/>
      <c r="H50" s="79"/>
      <c r="I50" s="79"/>
      <c r="J50" s="79"/>
      <c r="K50" s="79"/>
      <c r="L50" s="79"/>
    </row>
    <row r="51" spans="1:12">
      <c r="A51" s="79"/>
      <c r="B51" s="79"/>
      <c r="C51" s="79"/>
      <c r="E51" s="79"/>
      <c r="F51" s="79"/>
      <c r="G51" s="79"/>
      <c r="H51" s="79"/>
      <c r="I51" s="79"/>
      <c r="J51" s="79"/>
      <c r="K51" s="79"/>
      <c r="L51" s="79"/>
    </row>
    <row r="52" spans="1:12">
      <c r="A52" s="79"/>
      <c r="B52" s="79"/>
      <c r="C52" s="79"/>
      <c r="E52" s="79"/>
      <c r="F52" s="79"/>
      <c r="G52" s="79"/>
      <c r="H52" s="79"/>
      <c r="I52" s="79"/>
      <c r="J52" s="79"/>
      <c r="K52" s="79"/>
      <c r="L52" s="79"/>
    </row>
    <row r="53" spans="1:12">
      <c r="A53" s="158"/>
      <c r="B53" s="79"/>
      <c r="C53" s="79"/>
      <c r="E53" s="79"/>
      <c r="F53" s="79"/>
      <c r="G53" s="79"/>
      <c r="H53" s="79"/>
      <c r="I53" s="79"/>
      <c r="J53" s="79"/>
      <c r="K53" s="79"/>
      <c r="L53" s="79"/>
    </row>
    <row r="54" spans="1:12">
      <c r="A54" s="79"/>
      <c r="B54" s="79"/>
      <c r="C54" s="79"/>
      <c r="E54" s="79"/>
    </row>
    <row r="55" spans="1:12">
      <c r="A55" s="79"/>
      <c r="B55" s="79"/>
      <c r="C55" s="79"/>
      <c r="E55" s="79"/>
    </row>
    <row r="56" spans="1:12">
      <c r="A56" s="79"/>
      <c r="B56" s="79"/>
      <c r="C56" s="79"/>
      <c r="E56" s="79"/>
    </row>
    <row r="57" spans="1:12">
      <c r="A57" s="79"/>
      <c r="B57" s="79"/>
      <c r="C57" s="79"/>
      <c r="E57" s="79"/>
    </row>
    <row r="58" spans="1:12">
      <c r="A58" s="79"/>
      <c r="B58" s="79"/>
      <c r="C58" s="79"/>
      <c r="E58" s="79"/>
    </row>
    <row r="59" spans="1:12">
      <c r="A59" s="79"/>
      <c r="B59" s="79"/>
      <c r="C59" s="79"/>
      <c r="E59" s="79"/>
    </row>
    <row r="60" spans="1:12">
      <c r="A60" s="79"/>
      <c r="B60" s="79"/>
      <c r="C60" s="79"/>
      <c r="E60" s="79"/>
    </row>
    <row r="61" spans="1:12">
      <c r="A61" s="79"/>
      <c r="B61" s="79"/>
      <c r="C61" s="79"/>
      <c r="E61" s="79"/>
    </row>
    <row r="62" spans="1:12">
      <c r="A62" s="79"/>
      <c r="B62" s="79"/>
      <c r="C62" s="79"/>
      <c r="E62" s="79"/>
    </row>
  </sheetData>
  <mergeCells count="1">
    <mergeCell ref="A1:C1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showGridLines="0" topLeftCell="A10" zoomScale="115" zoomScaleNormal="115" workbookViewId="0">
      <selection activeCell="B34" sqref="B34"/>
    </sheetView>
  </sheetViews>
  <sheetFormatPr defaultRowHeight="11.25"/>
  <cols>
    <col min="1" max="1" width="5.28515625" style="40" customWidth="1"/>
    <col min="2" max="2" width="67.140625" style="40" customWidth="1"/>
    <col min="3" max="3" width="13.7109375" style="40" customWidth="1"/>
    <col min="4" max="4" width="10.28515625" style="40" customWidth="1"/>
    <col min="5" max="5" width="13.7109375" style="40" customWidth="1"/>
    <col min="6" max="16384" width="9.140625" style="40"/>
  </cols>
  <sheetData>
    <row r="1" spans="1:7">
      <c r="A1" s="49" t="s">
        <v>376</v>
      </c>
    </row>
    <row r="3" spans="1:7">
      <c r="A3" s="40" t="s">
        <v>377</v>
      </c>
    </row>
    <row r="4" spans="1:7">
      <c r="A4" s="40" t="s">
        <v>378</v>
      </c>
    </row>
    <row r="5" spans="1:7" ht="24.75" customHeight="1">
      <c r="A5" s="395" t="s">
        <v>379</v>
      </c>
      <c r="B5" s="395"/>
      <c r="C5" s="395"/>
    </row>
    <row r="6" spans="1:7">
      <c r="A6" s="40" t="s">
        <v>380</v>
      </c>
    </row>
    <row r="7" spans="1:7" ht="32.25" customHeight="1">
      <c r="A7" s="395" t="s">
        <v>381</v>
      </c>
      <c r="B7" s="395"/>
      <c r="C7" s="395"/>
    </row>
    <row r="8" spans="1:7">
      <c r="A8" s="40" t="s">
        <v>382</v>
      </c>
    </row>
    <row r="9" spans="1:7">
      <c r="A9" s="368" t="s">
        <v>383</v>
      </c>
    </row>
    <row r="10" spans="1:7" ht="12" thickBot="1"/>
    <row r="11" spans="1:7">
      <c r="B11" s="393" t="s">
        <v>173</v>
      </c>
      <c r="C11" s="394"/>
      <c r="G11" s="79"/>
    </row>
    <row r="12" spans="1:7">
      <c r="A12" s="79"/>
      <c r="B12" s="110" t="s">
        <v>159</v>
      </c>
      <c r="C12" s="111"/>
      <c r="G12" s="79"/>
    </row>
    <row r="13" spans="1:7">
      <c r="A13" s="79"/>
      <c r="B13" s="112" t="s">
        <v>86</v>
      </c>
      <c r="C13" s="369">
        <v>1932</v>
      </c>
      <c r="G13" s="350"/>
    </row>
    <row r="14" spans="1:7">
      <c r="A14" s="79"/>
      <c r="B14" s="113" t="s">
        <v>87</v>
      </c>
      <c r="C14" s="369">
        <v>2197</v>
      </c>
      <c r="G14" s="350"/>
    </row>
    <row r="15" spans="1:7">
      <c r="A15" s="79"/>
      <c r="B15" s="52" t="s">
        <v>88</v>
      </c>
      <c r="C15" s="370">
        <v>25</v>
      </c>
      <c r="G15" s="351"/>
    </row>
    <row r="16" spans="1:7">
      <c r="A16" s="79"/>
      <c r="B16" s="52" t="s">
        <v>89</v>
      </c>
      <c r="C16" s="370">
        <v>1463</v>
      </c>
      <c r="G16" s="351"/>
    </row>
    <row r="17" spans="1:7">
      <c r="A17" s="79"/>
      <c r="B17" s="52" t="s">
        <v>90</v>
      </c>
      <c r="C17" s="370">
        <v>321</v>
      </c>
      <c r="G17" s="351"/>
    </row>
    <row r="18" spans="1:7">
      <c r="A18" s="79"/>
      <c r="B18" s="52" t="s">
        <v>91</v>
      </c>
      <c r="C18" s="370">
        <v>12</v>
      </c>
      <c r="G18" s="351"/>
    </row>
    <row r="19" spans="1:7">
      <c r="A19" s="79"/>
      <c r="B19" s="52" t="s">
        <v>92</v>
      </c>
      <c r="C19" s="370">
        <v>339</v>
      </c>
      <c r="G19" s="351"/>
    </row>
    <row r="20" spans="1:7">
      <c r="A20" s="79"/>
      <c r="B20" s="52" t="s">
        <v>93</v>
      </c>
      <c r="C20" s="370">
        <v>0</v>
      </c>
      <c r="G20" s="351"/>
    </row>
    <row r="21" spans="1:7">
      <c r="A21" s="79"/>
      <c r="B21" s="52" t="s">
        <v>94</v>
      </c>
      <c r="C21" s="370">
        <v>22</v>
      </c>
      <c r="G21" s="351"/>
    </row>
    <row r="22" spans="1:7">
      <c r="A22" s="79"/>
      <c r="B22" s="114" t="s">
        <v>95</v>
      </c>
      <c r="C22" s="371">
        <v>0</v>
      </c>
      <c r="G22" s="351"/>
    </row>
    <row r="23" spans="1:7">
      <c r="A23" s="79"/>
      <c r="B23" s="115" t="s">
        <v>220</v>
      </c>
      <c r="C23" s="371">
        <v>0</v>
      </c>
      <c r="G23" s="351"/>
    </row>
    <row r="24" spans="1:7">
      <c r="A24" s="79" t="s">
        <v>96</v>
      </c>
      <c r="B24" s="110" t="s">
        <v>97</v>
      </c>
      <c r="C24" s="126"/>
      <c r="G24" s="351"/>
    </row>
    <row r="25" spans="1:7">
      <c r="A25" s="79"/>
      <c r="B25" s="116" t="s">
        <v>221</v>
      </c>
      <c r="C25" s="372">
        <v>5183</v>
      </c>
      <c r="G25" s="351"/>
    </row>
    <row r="26" spans="1:7">
      <c r="A26" s="79"/>
      <c r="B26" s="52" t="s">
        <v>222</v>
      </c>
      <c r="C26" s="370">
        <v>4918</v>
      </c>
      <c r="G26" s="351"/>
    </row>
    <row r="27" spans="1:7">
      <c r="B27" s="52" t="s">
        <v>223</v>
      </c>
      <c r="C27" s="57">
        <f>C13-C14</f>
        <v>-265</v>
      </c>
      <c r="G27" s="351"/>
    </row>
    <row r="28" spans="1:7">
      <c r="B28" s="78"/>
      <c r="C28" s="117"/>
      <c r="G28" s="79"/>
    </row>
    <row r="29" spans="1:7" s="49" customFormat="1">
      <c r="B29" s="112" t="s">
        <v>99</v>
      </c>
      <c r="C29" s="118">
        <f>MEDIAN(C25,C26)</f>
        <v>5050.5</v>
      </c>
    </row>
    <row r="30" spans="1:7">
      <c r="B30" s="113" t="s">
        <v>218</v>
      </c>
      <c r="C30" s="119">
        <f>C16/C29</f>
        <v>0.28967428967428965</v>
      </c>
    </row>
    <row r="31" spans="1:7">
      <c r="B31" s="113" t="s">
        <v>219</v>
      </c>
      <c r="C31" s="119">
        <f>MEDIAN(C13,C14)/C29</f>
        <v>0.40877140877140877</v>
      </c>
    </row>
    <row r="32" spans="1:7" s="49" customFormat="1">
      <c r="B32" s="113" t="s">
        <v>187</v>
      </c>
      <c r="C32" s="120">
        <f>12/C31</f>
        <v>29.356260595785905</v>
      </c>
    </row>
    <row r="33" spans="2:3">
      <c r="B33" s="113" t="s">
        <v>98</v>
      </c>
      <c r="C33" s="121">
        <v>360</v>
      </c>
    </row>
    <row r="34" spans="2:3">
      <c r="B34" s="113" t="s">
        <v>183</v>
      </c>
      <c r="C34" s="121">
        <v>10</v>
      </c>
    </row>
    <row r="35" spans="2:3">
      <c r="B35" s="112" t="s">
        <v>184</v>
      </c>
      <c r="C35" s="122">
        <v>30</v>
      </c>
    </row>
    <row r="36" spans="2:3">
      <c r="B36" s="112" t="s">
        <v>185</v>
      </c>
      <c r="C36" s="122">
        <v>30</v>
      </c>
    </row>
    <row r="37" spans="2:3" s="49" customFormat="1">
      <c r="B37" s="112" t="s">
        <v>101</v>
      </c>
      <c r="C37" s="122">
        <f>30+(3*TRUNC(1/C31))</f>
        <v>36</v>
      </c>
    </row>
    <row r="38" spans="2:3" s="49" customFormat="1">
      <c r="B38" s="113" t="s">
        <v>34</v>
      </c>
      <c r="C38" s="123">
        <v>0.08</v>
      </c>
    </row>
    <row r="39" spans="2:3" s="49" customFormat="1" ht="12" thickBot="1">
      <c r="B39" s="124" t="s">
        <v>100</v>
      </c>
      <c r="C39" s="125">
        <v>0.5</v>
      </c>
    </row>
  </sheetData>
  <mergeCells count="3">
    <mergeCell ref="B11:C11"/>
    <mergeCell ref="A5:C5"/>
    <mergeCell ref="A7:C7"/>
  </mergeCells>
  <pageMargins left="0.90551181102362199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showGridLines="0" workbookViewId="0">
      <selection activeCell="D25" sqref="D25"/>
    </sheetView>
  </sheetViews>
  <sheetFormatPr defaultRowHeight="11.25"/>
  <cols>
    <col min="1" max="1" width="41.85546875" style="40" bestFit="1" customWidth="1"/>
    <col min="2" max="2" width="5.5703125" style="40" bestFit="1" customWidth="1"/>
    <col min="3" max="3" width="9.140625" style="40"/>
    <col min="4" max="4" width="9.7109375" style="40" bestFit="1" customWidth="1"/>
    <col min="5" max="5" width="8" style="106" bestFit="1" customWidth="1"/>
    <col min="6" max="6" width="9.7109375" style="40" bestFit="1" customWidth="1"/>
    <col min="7" max="16384" width="9.140625" style="40"/>
  </cols>
  <sheetData>
    <row r="1" spans="1:6">
      <c r="A1" s="401" t="s">
        <v>174</v>
      </c>
      <c r="B1" s="402"/>
      <c r="C1" s="402"/>
      <c r="D1" s="402"/>
      <c r="E1" s="402"/>
      <c r="F1" s="403"/>
    </row>
    <row r="2" spans="1:6" ht="12" thickBot="1">
      <c r="A2" s="73"/>
      <c r="B2" s="74"/>
      <c r="C2" s="74"/>
      <c r="D2" s="74"/>
      <c r="E2" s="74"/>
      <c r="F2" s="75"/>
    </row>
    <row r="3" spans="1:6">
      <c r="A3" s="76"/>
      <c r="B3" s="77"/>
      <c r="C3" s="77"/>
      <c r="D3" s="398" t="s">
        <v>186</v>
      </c>
      <c r="E3" s="399"/>
      <c r="F3" s="400"/>
    </row>
    <row r="4" spans="1:6" ht="12" thickBot="1">
      <c r="A4" s="78"/>
      <c r="B4" s="79"/>
      <c r="C4" s="79"/>
      <c r="D4" s="80" t="s">
        <v>151</v>
      </c>
      <c r="E4" s="81" t="s">
        <v>152</v>
      </c>
      <c r="F4" s="82" t="s">
        <v>153</v>
      </c>
    </row>
    <row r="5" spans="1:6">
      <c r="A5" s="83" t="s">
        <v>54</v>
      </c>
      <c r="B5" s="84" t="s">
        <v>55</v>
      </c>
      <c r="C5" s="107"/>
      <c r="D5" s="85">
        <v>2.9700000000000001E-2</v>
      </c>
      <c r="E5" s="86">
        <v>5.0799999999999998E-2</v>
      </c>
      <c r="F5" s="87">
        <v>6.2700000000000006E-2</v>
      </c>
    </row>
    <row r="6" spans="1:6">
      <c r="A6" s="88" t="s">
        <v>56</v>
      </c>
      <c r="B6" s="89" t="s">
        <v>57</v>
      </c>
      <c r="C6" s="90"/>
      <c r="D6" s="85">
        <f>0.3%+0.56%</f>
        <v>8.6E-3</v>
      </c>
      <c r="E6" s="86">
        <f>0.48%+0.85%</f>
        <v>1.3299999999999999E-2</v>
      </c>
      <c r="F6" s="87">
        <f>0.82%+0.89%</f>
        <v>1.7099999999999997E-2</v>
      </c>
    </row>
    <row r="7" spans="1:6">
      <c r="A7" s="88" t="s">
        <v>58</v>
      </c>
      <c r="B7" s="89" t="s">
        <v>59</v>
      </c>
      <c r="C7" s="90"/>
      <c r="D7" s="85">
        <v>7.7799999999999994E-2</v>
      </c>
      <c r="E7" s="86">
        <v>0.1085</v>
      </c>
      <c r="F7" s="87">
        <v>0.13550000000000001</v>
      </c>
    </row>
    <row r="8" spans="1:6">
      <c r="A8" s="88" t="s">
        <v>60</v>
      </c>
      <c r="B8" s="89" t="s">
        <v>61</v>
      </c>
      <c r="C8" s="90">
        <f>(1+E8)^(E9/252)-1</f>
        <v>0</v>
      </c>
      <c r="D8" s="85" t="s">
        <v>213</v>
      </c>
      <c r="E8" s="108"/>
      <c r="F8" s="91"/>
    </row>
    <row r="9" spans="1:6">
      <c r="A9" s="88" t="s">
        <v>62</v>
      </c>
      <c r="B9" s="396" t="s">
        <v>63</v>
      </c>
      <c r="C9" s="90"/>
      <c r="D9" s="92" t="s">
        <v>154</v>
      </c>
      <c r="E9" s="109"/>
      <c r="F9" s="54"/>
    </row>
    <row r="10" spans="1:6" ht="12" thickBot="1">
      <c r="A10" s="298" t="s">
        <v>64</v>
      </c>
      <c r="B10" s="397"/>
      <c r="C10" s="299"/>
      <c r="D10" s="52"/>
      <c r="E10" s="93"/>
      <c r="F10" s="54"/>
    </row>
    <row r="11" spans="1:6">
      <c r="A11" s="94" t="s">
        <v>65</v>
      </c>
      <c r="B11" s="95"/>
      <c r="C11" s="96"/>
      <c r="D11" s="52"/>
      <c r="E11" s="93"/>
      <c r="F11" s="54"/>
    </row>
    <row r="12" spans="1:6" ht="12" thickBot="1">
      <c r="A12" s="97" t="s">
        <v>66</v>
      </c>
      <c r="B12" s="98"/>
      <c r="C12" s="99"/>
      <c r="D12" s="52"/>
      <c r="E12" s="93"/>
      <c r="F12" s="54"/>
    </row>
    <row r="13" spans="1:6" ht="12" thickBot="1">
      <c r="A13" s="100" t="s">
        <v>67</v>
      </c>
      <c r="B13" s="101"/>
      <c r="C13" s="102">
        <f>ROUND((((1+C5+C6)*(1+C7)*(1+C8))/(1-(C9+C10))-1),4)</f>
        <v>0</v>
      </c>
      <c r="D13" s="103">
        <v>0.21429999999999999</v>
      </c>
      <c r="E13" s="104">
        <v>0.2717</v>
      </c>
      <c r="F13" s="105">
        <v>0.3362</v>
      </c>
    </row>
  </sheetData>
  <mergeCells count="3">
    <mergeCell ref="B9:B10"/>
    <mergeCell ref="D3:F3"/>
    <mergeCell ref="A1:F1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7"/>
  <sheetViews>
    <sheetView showGridLines="0" workbookViewId="0">
      <selection activeCell="A3" sqref="A3"/>
    </sheetView>
  </sheetViews>
  <sheetFormatPr defaultRowHeight="19.5" customHeight="1"/>
  <cols>
    <col min="1" max="1" width="29.140625" style="40" bestFit="1" customWidth="1"/>
    <col min="2" max="2" width="20.85546875" style="40" customWidth="1"/>
    <col min="3" max="16384" width="9.140625" style="40"/>
  </cols>
  <sheetData>
    <row r="1" spans="1:2" ht="19.5" customHeight="1" thickBot="1">
      <c r="A1" s="404" t="s">
        <v>176</v>
      </c>
      <c r="B1" s="405"/>
    </row>
    <row r="2" spans="1:2" s="49" customFormat="1" ht="19.5" customHeight="1">
      <c r="A2" s="67" t="s">
        <v>361</v>
      </c>
      <c r="B2" s="68" t="s">
        <v>214</v>
      </c>
    </row>
    <row r="3" spans="1:2" ht="19.5" customHeight="1">
      <c r="A3" s="69">
        <v>1</v>
      </c>
      <c r="B3" s="70">
        <v>33.629999999999995</v>
      </c>
    </row>
    <row r="4" spans="1:2" ht="19.5" customHeight="1">
      <c r="A4" s="69">
        <v>2</v>
      </c>
      <c r="B4" s="70">
        <v>43.13</v>
      </c>
    </row>
    <row r="5" spans="1:2" ht="19.5" customHeight="1">
      <c r="A5" s="69">
        <v>3</v>
      </c>
      <c r="B5" s="70">
        <v>48.68</v>
      </c>
    </row>
    <row r="6" spans="1:2" ht="19.5" customHeight="1">
      <c r="A6" s="69">
        <v>4</v>
      </c>
      <c r="B6" s="70">
        <v>52.62</v>
      </c>
    </row>
    <row r="7" spans="1:2" ht="19.5" customHeight="1">
      <c r="A7" s="69">
        <v>5</v>
      </c>
      <c r="B7" s="70">
        <v>55.679999999999993</v>
      </c>
    </row>
    <row r="8" spans="1:2" ht="19.5" customHeight="1">
      <c r="A8" s="69">
        <v>6</v>
      </c>
      <c r="B8" s="70">
        <v>58.18</v>
      </c>
    </row>
    <row r="9" spans="1:2" ht="19.5" customHeight="1">
      <c r="A9" s="69">
        <v>7</v>
      </c>
      <c r="B9" s="70">
        <v>60.29</v>
      </c>
    </row>
    <row r="10" spans="1:2" ht="19.5" customHeight="1">
      <c r="A10" s="69">
        <v>8</v>
      </c>
      <c r="B10" s="70">
        <v>62.12</v>
      </c>
    </row>
    <row r="11" spans="1:2" ht="19.5" customHeight="1">
      <c r="A11" s="69">
        <v>9</v>
      </c>
      <c r="B11" s="70">
        <v>63.73</v>
      </c>
    </row>
    <row r="12" spans="1:2" ht="19.5" customHeight="1">
      <c r="A12" s="69">
        <v>10</v>
      </c>
      <c r="B12" s="70">
        <v>65.180000000000007</v>
      </c>
    </row>
    <row r="13" spans="1:2" ht="19.5" customHeight="1">
      <c r="A13" s="69">
        <v>11</v>
      </c>
      <c r="B13" s="70">
        <v>66.47999999999999</v>
      </c>
    </row>
    <row r="14" spans="1:2" ht="19.5" customHeight="1">
      <c r="A14" s="69">
        <v>12</v>
      </c>
      <c r="B14" s="70">
        <v>67.67</v>
      </c>
    </row>
    <row r="15" spans="1:2" ht="19.5" customHeight="1">
      <c r="A15" s="69">
        <v>13</v>
      </c>
      <c r="B15" s="70">
        <v>68.77</v>
      </c>
    </row>
    <row r="16" spans="1:2" ht="19.5" customHeight="1">
      <c r="A16" s="69">
        <v>14</v>
      </c>
      <c r="B16" s="70">
        <v>69.789999999999992</v>
      </c>
    </row>
    <row r="17" spans="1:2" ht="19.5" customHeight="1" thickBot="1">
      <c r="A17" s="71">
        <v>15</v>
      </c>
      <c r="B17" s="72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7"/>
  <sheetViews>
    <sheetView showGridLines="0" workbookViewId="0">
      <selection activeCell="B38" sqref="B38"/>
    </sheetView>
  </sheetViews>
  <sheetFormatPr defaultRowHeight="11.25"/>
  <cols>
    <col min="1" max="1" width="70.42578125" style="40" customWidth="1"/>
    <col min="2" max="3" width="9.140625" style="40"/>
    <col min="4" max="4" width="12.85546875" style="40" bestFit="1" customWidth="1"/>
    <col min="5" max="16384" width="9.140625" style="40"/>
  </cols>
  <sheetData>
    <row r="1" spans="1:1">
      <c r="A1" s="66" t="s">
        <v>177</v>
      </c>
    </row>
    <row r="2" spans="1:1">
      <c r="A2" s="63"/>
    </row>
    <row r="3" spans="1:1">
      <c r="A3" s="63" t="s">
        <v>188</v>
      </c>
    </row>
    <row r="4" spans="1:1">
      <c r="A4" s="63"/>
    </row>
    <row r="5" spans="1:1">
      <c r="A5" s="63"/>
    </row>
    <row r="6" spans="1:1">
      <c r="A6" s="63"/>
    </row>
    <row r="7" spans="1:1">
      <c r="A7" s="63"/>
    </row>
    <row r="8" spans="1:1">
      <c r="A8" s="63"/>
    </row>
    <row r="9" spans="1:1">
      <c r="A9" s="63"/>
    </row>
    <row r="10" spans="1:1">
      <c r="A10" s="63"/>
    </row>
    <row r="11" spans="1:1">
      <c r="A11" s="63"/>
    </row>
    <row r="12" spans="1:1">
      <c r="A12" s="64" t="s">
        <v>281</v>
      </c>
    </row>
    <row r="13" spans="1:1">
      <c r="A13" s="64" t="s">
        <v>75</v>
      </c>
    </row>
    <row r="14" spans="1:1">
      <c r="A14" s="64" t="s">
        <v>79</v>
      </c>
    </row>
    <row r="15" spans="1:1">
      <c r="A15" s="64" t="s">
        <v>282</v>
      </c>
    </row>
    <row r="16" spans="1:1">
      <c r="A16" s="64" t="s">
        <v>283</v>
      </c>
    </row>
    <row r="17" spans="1:1" ht="12" thickBot="1">
      <c r="A17" s="65" t="s">
        <v>76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6"/>
  <sheetViews>
    <sheetView showGridLines="0" workbookViewId="0">
      <selection activeCell="C16" sqref="C16"/>
    </sheetView>
  </sheetViews>
  <sheetFormatPr defaultRowHeight="11.25"/>
  <cols>
    <col min="1" max="1" width="58.28515625" style="40" customWidth="1"/>
    <col min="2" max="2" width="11.140625" style="40" bestFit="1" customWidth="1"/>
    <col min="3" max="3" width="11.28515625" style="40" bestFit="1" customWidth="1"/>
    <col min="4" max="16384" width="9.140625" style="40"/>
  </cols>
  <sheetData>
    <row r="1" spans="1:3">
      <c r="A1" s="406" t="s">
        <v>210</v>
      </c>
      <c r="B1" s="407"/>
      <c r="C1" s="408"/>
    </row>
    <row r="2" spans="1:3" s="45" customFormat="1">
      <c r="A2" s="42"/>
      <c r="B2" s="43"/>
      <c r="C2" s="44"/>
    </row>
    <row r="3" spans="1:3" s="49" customFormat="1">
      <c r="A3" s="46" t="s">
        <v>211</v>
      </c>
      <c r="B3" s="47" t="s">
        <v>193</v>
      </c>
      <c r="C3" s="48" t="s">
        <v>104</v>
      </c>
    </row>
    <row r="4" spans="1:3">
      <c r="A4" s="50" t="s">
        <v>200</v>
      </c>
      <c r="B4" s="51" t="s">
        <v>194</v>
      </c>
      <c r="C4" s="57"/>
    </row>
    <row r="5" spans="1:3">
      <c r="A5" s="52" t="s">
        <v>201</v>
      </c>
      <c r="B5" s="53" t="s">
        <v>198</v>
      </c>
      <c r="C5" s="58"/>
    </row>
    <row r="6" spans="1:3">
      <c r="A6" s="52" t="s">
        <v>202</v>
      </c>
      <c r="B6" s="53" t="s">
        <v>199</v>
      </c>
      <c r="C6" s="59">
        <f>C4*C5/1000</f>
        <v>0</v>
      </c>
    </row>
    <row r="7" spans="1:3">
      <c r="A7" s="52" t="s">
        <v>208</v>
      </c>
      <c r="B7" s="53" t="s">
        <v>195</v>
      </c>
      <c r="C7" s="60">
        <f>(C6*30)</f>
        <v>0</v>
      </c>
    </row>
    <row r="8" spans="1:3">
      <c r="A8" s="52" t="s">
        <v>204</v>
      </c>
      <c r="B8" s="53" t="s">
        <v>70</v>
      </c>
      <c r="C8" s="59"/>
    </row>
    <row r="9" spans="1:3">
      <c r="A9" s="52" t="s">
        <v>203</v>
      </c>
      <c r="B9" s="53" t="s">
        <v>199</v>
      </c>
      <c r="C9" s="59">
        <f>IFERROR(C6*7/C8,0)</f>
        <v>0</v>
      </c>
    </row>
    <row r="10" spans="1:3">
      <c r="A10" s="50" t="s">
        <v>323</v>
      </c>
      <c r="B10" s="53" t="s">
        <v>196</v>
      </c>
      <c r="C10" s="57"/>
    </row>
    <row r="11" spans="1:3">
      <c r="A11" s="52" t="s">
        <v>209</v>
      </c>
      <c r="B11" s="53"/>
      <c r="C11" s="57"/>
    </row>
    <row r="12" spans="1:3">
      <c r="A12" s="50" t="s">
        <v>280</v>
      </c>
      <c r="B12" s="53" t="s">
        <v>197</v>
      </c>
      <c r="C12" s="57"/>
    </row>
    <row r="13" spans="1:3">
      <c r="A13" s="50" t="s">
        <v>205</v>
      </c>
      <c r="B13" s="53" t="s">
        <v>195</v>
      </c>
      <c r="C13" s="57">
        <f>IF(AND(C12&gt;=15,C11=1),5.8,C12/2)</f>
        <v>0</v>
      </c>
    </row>
    <row r="14" spans="1:3">
      <c r="A14" s="50" t="s">
        <v>206</v>
      </c>
      <c r="B14" s="53"/>
      <c r="C14" s="59">
        <f>IFERROR(C9/C13,0)</f>
        <v>0</v>
      </c>
    </row>
    <row r="15" spans="1:3">
      <c r="A15" s="50" t="s">
        <v>212</v>
      </c>
      <c r="B15" s="53"/>
      <c r="C15" s="61"/>
    </row>
    <row r="16" spans="1:3" ht="12" thickBot="1">
      <c r="A16" s="55" t="s">
        <v>207</v>
      </c>
      <c r="B16" s="56"/>
      <c r="C16" s="62">
        <f>IFERROR(C14/C15,0)</f>
        <v>0</v>
      </c>
    </row>
  </sheetData>
  <mergeCells count="1">
    <mergeCell ref="A1:C1"/>
  </mergeCells>
  <conditionalFormatting sqref="C13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6"/>
  <sheetViews>
    <sheetView showGridLines="0" zoomScale="110" zoomScaleNormal="110" workbookViewId="0">
      <pane xSplit="4" ySplit="16" topLeftCell="E26" activePane="bottomRight" state="frozen"/>
      <selection pane="topRight" activeCell="E1" sqref="E1"/>
      <selection pane="bottomLeft" activeCell="A17" sqref="A17"/>
      <selection pane="bottomRight" sqref="A1:M36"/>
    </sheetView>
  </sheetViews>
  <sheetFormatPr defaultRowHeight="11.25"/>
  <cols>
    <col min="1" max="1" width="9.140625" style="6"/>
    <col min="2" max="2" width="55.7109375" style="6" customWidth="1"/>
    <col min="3" max="3" width="15.28515625" style="38" customWidth="1"/>
    <col min="4" max="4" width="29.28515625" style="38" customWidth="1"/>
    <col min="5" max="5" width="35.28515625" style="38" bestFit="1" customWidth="1"/>
    <col min="6" max="6" width="18.42578125" style="38" customWidth="1"/>
    <col min="7" max="7" width="13.7109375" style="38" customWidth="1"/>
    <col min="8" max="8" width="15.42578125" style="38" customWidth="1"/>
    <col min="9" max="9" width="18.85546875" style="38" customWidth="1"/>
    <col min="10" max="10" width="21.7109375" style="38" bestFit="1" customWidth="1"/>
    <col min="11" max="12" width="14" style="38" customWidth="1"/>
    <col min="13" max="13" width="14.42578125" style="38" customWidth="1"/>
    <col min="14" max="16384" width="9.140625" style="6"/>
  </cols>
  <sheetData>
    <row r="1" spans="1:13" ht="15.75" customHeight="1" thickBot="1">
      <c r="A1" s="409" t="s">
        <v>224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ht="34.5" thickBot="1">
      <c r="A2" s="7" t="s">
        <v>225</v>
      </c>
      <c r="B2" s="8" t="s">
        <v>226</v>
      </c>
      <c r="C2" s="8" t="s">
        <v>227</v>
      </c>
      <c r="D2" s="8" t="s">
        <v>228</v>
      </c>
      <c r="E2" s="8" t="s">
        <v>229</v>
      </c>
      <c r="F2" s="8" t="s">
        <v>230</v>
      </c>
      <c r="G2" s="8" t="s">
        <v>231</v>
      </c>
      <c r="H2" s="8" t="s">
        <v>232</v>
      </c>
      <c r="I2" s="8" t="s">
        <v>233</v>
      </c>
      <c r="J2" s="8" t="s">
        <v>234</v>
      </c>
      <c r="K2" s="8" t="s">
        <v>235</v>
      </c>
      <c r="L2" s="9" t="s">
        <v>236</v>
      </c>
      <c r="M2" s="10" t="s">
        <v>237</v>
      </c>
    </row>
    <row r="3" spans="1:13">
      <c r="A3" s="11">
        <v>1</v>
      </c>
      <c r="B3" s="12" t="s">
        <v>238</v>
      </c>
      <c r="C3" s="317" t="s">
        <v>239</v>
      </c>
      <c r="D3" s="317" t="s">
        <v>240</v>
      </c>
      <c r="E3" s="13" t="s">
        <v>241</v>
      </c>
      <c r="F3" s="14">
        <v>0.5</v>
      </c>
      <c r="G3" s="14">
        <v>4</v>
      </c>
      <c r="H3" s="15">
        <v>5.37</v>
      </c>
      <c r="I3" s="13">
        <v>10</v>
      </c>
      <c r="J3" s="13">
        <v>30</v>
      </c>
      <c r="K3" s="16">
        <v>12</v>
      </c>
      <c r="L3" s="17">
        <v>0</v>
      </c>
      <c r="M3" s="17">
        <f>SUM((H3*K3)+L3)</f>
        <v>64.44</v>
      </c>
    </row>
    <row r="4" spans="1:13">
      <c r="A4" s="18">
        <v>1</v>
      </c>
      <c r="B4" s="12" t="s">
        <v>238</v>
      </c>
      <c r="C4" s="25" t="s">
        <v>239</v>
      </c>
      <c r="D4" s="25" t="s">
        <v>242</v>
      </c>
      <c r="E4" s="19" t="s">
        <v>243</v>
      </c>
      <c r="F4" s="20">
        <v>0.5</v>
      </c>
      <c r="G4" s="20">
        <v>4</v>
      </c>
      <c r="H4" s="15">
        <v>5.37</v>
      </c>
      <c r="I4" s="19">
        <v>10</v>
      </c>
      <c r="J4" s="19">
        <v>30</v>
      </c>
      <c r="K4" s="19">
        <v>12</v>
      </c>
      <c r="L4" s="20">
        <v>0</v>
      </c>
      <c r="M4" s="20">
        <f>SUM((H4*K4)+L4)</f>
        <v>64.44</v>
      </c>
    </row>
    <row r="5" spans="1:13">
      <c r="A5" s="18">
        <v>2</v>
      </c>
      <c r="B5" s="21" t="s">
        <v>244</v>
      </c>
      <c r="C5" s="25" t="s">
        <v>245</v>
      </c>
      <c r="D5" s="25" t="s">
        <v>246</v>
      </c>
      <c r="E5" s="19" t="s">
        <v>241</v>
      </c>
      <c r="F5" s="20">
        <v>0.5</v>
      </c>
      <c r="G5" s="20">
        <v>4</v>
      </c>
      <c r="H5" s="22">
        <v>18.100000000000001</v>
      </c>
      <c r="I5" s="19">
        <v>10</v>
      </c>
      <c r="J5" s="19">
        <v>30</v>
      </c>
      <c r="K5" s="19">
        <v>8</v>
      </c>
      <c r="L5" s="20">
        <f t="shared" ref="L5:L10" si="0">G5*2</f>
        <v>8</v>
      </c>
      <c r="M5" s="20">
        <f>SUM((H5*K5)+L5)</f>
        <v>152.80000000000001</v>
      </c>
    </row>
    <row r="6" spans="1:13">
      <c r="A6" s="18">
        <v>2</v>
      </c>
      <c r="B6" s="21" t="s">
        <v>244</v>
      </c>
      <c r="C6" s="25" t="s">
        <v>247</v>
      </c>
      <c r="D6" s="25" t="s">
        <v>248</v>
      </c>
      <c r="E6" s="19" t="s">
        <v>243</v>
      </c>
      <c r="F6" s="20">
        <v>0.5</v>
      </c>
      <c r="G6" s="20">
        <v>4</v>
      </c>
      <c r="H6" s="22">
        <v>18.100000000000001</v>
      </c>
      <c r="I6" s="19">
        <v>10</v>
      </c>
      <c r="J6" s="19">
        <v>30</v>
      </c>
      <c r="K6" s="19">
        <v>4</v>
      </c>
      <c r="L6" s="20">
        <f t="shared" si="0"/>
        <v>8</v>
      </c>
      <c r="M6" s="20">
        <f t="shared" ref="M6:M24" si="1">SUM((H6*K6)+L6)</f>
        <v>80.400000000000006</v>
      </c>
    </row>
    <row r="7" spans="1:13">
      <c r="A7" s="18">
        <v>3</v>
      </c>
      <c r="B7" s="21" t="s">
        <v>249</v>
      </c>
      <c r="C7" s="25" t="s">
        <v>245</v>
      </c>
      <c r="D7" s="25" t="s">
        <v>246</v>
      </c>
      <c r="E7" s="19" t="s">
        <v>241</v>
      </c>
      <c r="F7" s="20">
        <v>0.5</v>
      </c>
      <c r="G7" s="20">
        <v>4.9000000000000004</v>
      </c>
      <c r="H7" s="22">
        <v>14.5</v>
      </c>
      <c r="I7" s="19">
        <v>10</v>
      </c>
      <c r="J7" s="19">
        <v>30</v>
      </c>
      <c r="K7" s="19">
        <v>8</v>
      </c>
      <c r="L7" s="20">
        <f t="shared" si="0"/>
        <v>9.8000000000000007</v>
      </c>
      <c r="M7" s="20">
        <f t="shared" si="1"/>
        <v>125.8</v>
      </c>
    </row>
    <row r="8" spans="1:13">
      <c r="A8" s="18">
        <v>3</v>
      </c>
      <c r="B8" s="21" t="s">
        <v>249</v>
      </c>
      <c r="C8" s="25" t="s">
        <v>247</v>
      </c>
      <c r="D8" s="25" t="s">
        <v>248</v>
      </c>
      <c r="E8" s="19" t="s">
        <v>243</v>
      </c>
      <c r="F8" s="20">
        <v>0.5</v>
      </c>
      <c r="G8" s="20">
        <v>4.9000000000000004</v>
      </c>
      <c r="H8" s="22">
        <v>14.5</v>
      </c>
      <c r="I8" s="19">
        <v>10</v>
      </c>
      <c r="J8" s="19">
        <v>30</v>
      </c>
      <c r="K8" s="19">
        <v>4</v>
      </c>
      <c r="L8" s="20">
        <f t="shared" si="0"/>
        <v>9.8000000000000007</v>
      </c>
      <c r="M8" s="20">
        <f t="shared" si="1"/>
        <v>67.8</v>
      </c>
    </row>
    <row r="9" spans="1:13">
      <c r="A9" s="18">
        <v>4</v>
      </c>
      <c r="B9" s="21" t="s">
        <v>250</v>
      </c>
      <c r="C9" s="25" t="s">
        <v>245</v>
      </c>
      <c r="D9" s="25" t="s">
        <v>246</v>
      </c>
      <c r="E9" s="19" t="s">
        <v>241</v>
      </c>
      <c r="F9" s="20">
        <v>1.1499999999999999</v>
      </c>
      <c r="G9" s="20">
        <v>5</v>
      </c>
      <c r="H9" s="22">
        <v>15</v>
      </c>
      <c r="I9" s="19">
        <v>10</v>
      </c>
      <c r="J9" s="19">
        <v>30</v>
      </c>
      <c r="K9" s="19">
        <v>8</v>
      </c>
      <c r="L9" s="20">
        <f t="shared" si="0"/>
        <v>10</v>
      </c>
      <c r="M9" s="20">
        <f t="shared" si="1"/>
        <v>130</v>
      </c>
    </row>
    <row r="10" spans="1:13">
      <c r="A10" s="18">
        <v>4</v>
      </c>
      <c r="B10" s="21" t="s">
        <v>250</v>
      </c>
      <c r="C10" s="25" t="s">
        <v>247</v>
      </c>
      <c r="D10" s="25" t="s">
        <v>248</v>
      </c>
      <c r="E10" s="19" t="s">
        <v>243</v>
      </c>
      <c r="F10" s="20">
        <v>1.1499999999999999</v>
      </c>
      <c r="G10" s="20">
        <v>5</v>
      </c>
      <c r="H10" s="22">
        <v>15</v>
      </c>
      <c r="I10" s="19">
        <v>10</v>
      </c>
      <c r="J10" s="19">
        <v>30</v>
      </c>
      <c r="K10" s="19">
        <v>4</v>
      </c>
      <c r="L10" s="20">
        <f t="shared" si="0"/>
        <v>10</v>
      </c>
      <c r="M10" s="20">
        <f t="shared" si="1"/>
        <v>70</v>
      </c>
    </row>
    <row r="11" spans="1:13">
      <c r="A11" s="18">
        <v>5</v>
      </c>
      <c r="B11" s="21" t="s">
        <v>251</v>
      </c>
      <c r="C11" s="25" t="s">
        <v>247</v>
      </c>
      <c r="D11" s="25" t="s">
        <v>252</v>
      </c>
      <c r="E11" s="19" t="s">
        <v>241</v>
      </c>
      <c r="F11" s="20">
        <v>2.37</v>
      </c>
      <c r="G11" s="20">
        <v>4.9000000000000004</v>
      </c>
      <c r="H11" s="22">
        <v>9</v>
      </c>
      <c r="I11" s="19">
        <v>10</v>
      </c>
      <c r="J11" s="19">
        <v>30</v>
      </c>
      <c r="K11" s="19">
        <v>4</v>
      </c>
      <c r="L11" s="20">
        <v>0</v>
      </c>
      <c r="M11" s="20">
        <f t="shared" si="1"/>
        <v>36</v>
      </c>
    </row>
    <row r="12" spans="1:13">
      <c r="A12" s="18">
        <v>5</v>
      </c>
      <c r="B12" s="21" t="s">
        <v>251</v>
      </c>
      <c r="C12" s="25" t="s">
        <v>247</v>
      </c>
      <c r="D12" s="25" t="s">
        <v>253</v>
      </c>
      <c r="E12" s="19" t="s">
        <v>243</v>
      </c>
      <c r="F12" s="20">
        <v>2.37</v>
      </c>
      <c r="G12" s="20">
        <v>4.9000000000000004</v>
      </c>
      <c r="H12" s="22">
        <v>9</v>
      </c>
      <c r="I12" s="19">
        <v>10</v>
      </c>
      <c r="J12" s="19">
        <v>30</v>
      </c>
      <c r="K12" s="19">
        <v>4</v>
      </c>
      <c r="L12" s="20">
        <v>0</v>
      </c>
      <c r="M12" s="20">
        <f t="shared" si="1"/>
        <v>36</v>
      </c>
    </row>
    <row r="13" spans="1:13">
      <c r="A13" s="18">
        <v>6</v>
      </c>
      <c r="B13" s="21" t="s">
        <v>254</v>
      </c>
      <c r="C13" s="25" t="s">
        <v>245</v>
      </c>
      <c r="D13" s="25" t="s">
        <v>255</v>
      </c>
      <c r="E13" s="19" t="s">
        <v>241</v>
      </c>
      <c r="F13" s="20">
        <v>2.31</v>
      </c>
      <c r="G13" s="20">
        <v>5</v>
      </c>
      <c r="H13" s="22">
        <v>9.59</v>
      </c>
      <c r="I13" s="19">
        <v>10</v>
      </c>
      <c r="J13" s="19">
        <v>30</v>
      </c>
      <c r="K13" s="19">
        <v>8</v>
      </c>
      <c r="L13" s="20">
        <v>0</v>
      </c>
      <c r="M13" s="20">
        <f t="shared" si="1"/>
        <v>76.72</v>
      </c>
    </row>
    <row r="14" spans="1:13">
      <c r="A14" s="18">
        <v>6</v>
      </c>
      <c r="B14" s="21" t="s">
        <v>254</v>
      </c>
      <c r="C14" s="25" t="s">
        <v>247</v>
      </c>
      <c r="D14" s="25" t="s">
        <v>256</v>
      </c>
      <c r="E14" s="19" t="s">
        <v>243</v>
      </c>
      <c r="F14" s="20">
        <v>2.31</v>
      </c>
      <c r="G14" s="20">
        <v>5</v>
      </c>
      <c r="H14" s="22">
        <v>9.59</v>
      </c>
      <c r="I14" s="19">
        <v>10</v>
      </c>
      <c r="J14" s="19">
        <v>30</v>
      </c>
      <c r="K14" s="19">
        <v>4</v>
      </c>
      <c r="L14" s="20">
        <v>0</v>
      </c>
      <c r="M14" s="20">
        <f t="shared" si="1"/>
        <v>38.36</v>
      </c>
    </row>
    <row r="15" spans="1:13">
      <c r="A15" s="18">
        <v>7</v>
      </c>
      <c r="B15" s="21" t="s">
        <v>257</v>
      </c>
      <c r="C15" s="25" t="s">
        <v>245</v>
      </c>
      <c r="D15" s="25" t="s">
        <v>255</v>
      </c>
      <c r="E15" s="19" t="s">
        <v>241</v>
      </c>
      <c r="F15" s="20">
        <v>3.71</v>
      </c>
      <c r="G15" s="20">
        <v>6.85</v>
      </c>
      <c r="H15" s="22">
        <v>19</v>
      </c>
      <c r="I15" s="19">
        <v>10</v>
      </c>
      <c r="J15" s="19">
        <v>30</v>
      </c>
      <c r="K15" s="19">
        <v>8</v>
      </c>
      <c r="L15" s="20">
        <f>G15*2</f>
        <v>13.7</v>
      </c>
      <c r="M15" s="20">
        <f t="shared" si="1"/>
        <v>165.7</v>
      </c>
    </row>
    <row r="16" spans="1:13">
      <c r="A16" s="18">
        <v>7</v>
      </c>
      <c r="B16" s="21" t="s">
        <v>257</v>
      </c>
      <c r="C16" s="25" t="s">
        <v>247</v>
      </c>
      <c r="D16" s="25" t="s">
        <v>256</v>
      </c>
      <c r="E16" s="19" t="s">
        <v>243</v>
      </c>
      <c r="F16" s="20">
        <v>3.71</v>
      </c>
      <c r="G16" s="20">
        <v>6.85</v>
      </c>
      <c r="H16" s="22">
        <v>19</v>
      </c>
      <c r="I16" s="19">
        <v>10</v>
      </c>
      <c r="J16" s="19">
        <v>30</v>
      </c>
      <c r="K16" s="19">
        <v>4</v>
      </c>
      <c r="L16" s="20">
        <f>G16*2</f>
        <v>13.7</v>
      </c>
      <c r="M16" s="20">
        <f t="shared" si="1"/>
        <v>89.7</v>
      </c>
    </row>
    <row r="17" spans="1:13">
      <c r="A17" s="18">
        <v>8</v>
      </c>
      <c r="B17" s="21" t="s">
        <v>258</v>
      </c>
      <c r="C17" s="25" t="s">
        <v>247</v>
      </c>
      <c r="D17" s="25" t="s">
        <v>252</v>
      </c>
      <c r="E17" s="19" t="s">
        <v>241</v>
      </c>
      <c r="F17" s="20">
        <v>3.95</v>
      </c>
      <c r="G17" s="20">
        <v>4.54</v>
      </c>
      <c r="H17" s="22">
        <v>13.1</v>
      </c>
      <c r="I17" s="19">
        <v>10</v>
      </c>
      <c r="J17" s="19">
        <v>30</v>
      </c>
      <c r="K17" s="19">
        <v>4</v>
      </c>
      <c r="L17" s="20">
        <v>0</v>
      </c>
      <c r="M17" s="20">
        <f t="shared" si="1"/>
        <v>52.4</v>
      </c>
    </row>
    <row r="18" spans="1:13">
      <c r="A18" s="18">
        <v>8</v>
      </c>
      <c r="B18" s="21" t="s">
        <v>258</v>
      </c>
      <c r="C18" s="25" t="s">
        <v>247</v>
      </c>
      <c r="D18" s="25" t="s">
        <v>253</v>
      </c>
      <c r="E18" s="19" t="s">
        <v>243</v>
      </c>
      <c r="F18" s="20">
        <v>3.95</v>
      </c>
      <c r="G18" s="20">
        <v>4.54</v>
      </c>
      <c r="H18" s="22">
        <v>13.1</v>
      </c>
      <c r="I18" s="19">
        <v>10</v>
      </c>
      <c r="J18" s="19">
        <v>30</v>
      </c>
      <c r="K18" s="19">
        <v>4</v>
      </c>
      <c r="L18" s="20">
        <v>0</v>
      </c>
      <c r="M18" s="20">
        <f t="shared" si="1"/>
        <v>52.4</v>
      </c>
    </row>
    <row r="19" spans="1:13">
      <c r="A19" s="18">
        <v>9</v>
      </c>
      <c r="B19" s="21" t="s">
        <v>259</v>
      </c>
      <c r="C19" s="25" t="s">
        <v>245</v>
      </c>
      <c r="D19" s="25" t="s">
        <v>246</v>
      </c>
      <c r="E19" s="19" t="s">
        <v>241</v>
      </c>
      <c r="F19" s="20">
        <v>1.27</v>
      </c>
      <c r="G19" s="20">
        <v>3.5</v>
      </c>
      <c r="H19" s="22">
        <v>11</v>
      </c>
      <c r="I19" s="19">
        <v>10</v>
      </c>
      <c r="J19" s="19">
        <v>30</v>
      </c>
      <c r="K19" s="19">
        <v>8</v>
      </c>
      <c r="L19" s="20">
        <f>G19*2</f>
        <v>7</v>
      </c>
      <c r="M19" s="20">
        <f t="shared" si="1"/>
        <v>95</v>
      </c>
    </row>
    <row r="20" spans="1:13">
      <c r="A20" s="18">
        <v>9</v>
      </c>
      <c r="B20" s="21" t="s">
        <v>259</v>
      </c>
      <c r="C20" s="25" t="s">
        <v>247</v>
      </c>
      <c r="D20" s="25" t="s">
        <v>248</v>
      </c>
      <c r="E20" s="19" t="s">
        <v>243</v>
      </c>
      <c r="F20" s="20">
        <v>1.27</v>
      </c>
      <c r="G20" s="20">
        <v>3.5</v>
      </c>
      <c r="H20" s="22">
        <v>11</v>
      </c>
      <c r="I20" s="19">
        <v>10</v>
      </c>
      <c r="J20" s="19">
        <v>30</v>
      </c>
      <c r="K20" s="19">
        <v>4</v>
      </c>
      <c r="L20" s="20">
        <f>G20*2</f>
        <v>7</v>
      </c>
      <c r="M20" s="20">
        <f t="shared" si="1"/>
        <v>51</v>
      </c>
    </row>
    <row r="21" spans="1:13">
      <c r="A21" s="18">
        <v>10</v>
      </c>
      <c r="B21" s="21" t="s">
        <v>260</v>
      </c>
      <c r="C21" s="25" t="s">
        <v>245</v>
      </c>
      <c r="D21" s="25" t="s">
        <v>255</v>
      </c>
      <c r="E21" s="19" t="s">
        <v>241</v>
      </c>
      <c r="F21" s="20">
        <v>1.2</v>
      </c>
      <c r="G21" s="20">
        <v>4.5999999999999996</v>
      </c>
      <c r="H21" s="22">
        <v>6.49</v>
      </c>
      <c r="I21" s="19">
        <v>10</v>
      </c>
      <c r="J21" s="19">
        <v>30</v>
      </c>
      <c r="K21" s="19">
        <v>8</v>
      </c>
      <c r="L21" s="20">
        <v>0</v>
      </c>
      <c r="M21" s="20">
        <f t="shared" si="1"/>
        <v>51.92</v>
      </c>
    </row>
    <row r="22" spans="1:13">
      <c r="A22" s="18">
        <v>10</v>
      </c>
      <c r="B22" s="21" t="s">
        <v>260</v>
      </c>
      <c r="C22" s="25" t="s">
        <v>247</v>
      </c>
      <c r="D22" s="25" t="s">
        <v>256</v>
      </c>
      <c r="E22" s="19" t="s">
        <v>243</v>
      </c>
      <c r="F22" s="20">
        <v>1.2</v>
      </c>
      <c r="G22" s="20">
        <v>4.5999999999999996</v>
      </c>
      <c r="H22" s="22">
        <v>6.49</v>
      </c>
      <c r="I22" s="19">
        <v>10</v>
      </c>
      <c r="J22" s="19">
        <v>30</v>
      </c>
      <c r="K22" s="19">
        <v>4</v>
      </c>
      <c r="L22" s="20">
        <v>0</v>
      </c>
      <c r="M22" s="20">
        <f t="shared" si="1"/>
        <v>25.96</v>
      </c>
    </row>
    <row r="23" spans="1:13">
      <c r="A23" s="18">
        <v>11</v>
      </c>
      <c r="B23" s="21" t="s">
        <v>261</v>
      </c>
      <c r="C23" s="25" t="s">
        <v>245</v>
      </c>
      <c r="D23" s="25" t="s">
        <v>255</v>
      </c>
      <c r="E23" s="19" t="s">
        <v>241</v>
      </c>
      <c r="F23" s="20">
        <v>2.85</v>
      </c>
      <c r="G23" s="20">
        <v>7.2</v>
      </c>
      <c r="H23" s="20">
        <v>7</v>
      </c>
      <c r="I23" s="19">
        <v>10</v>
      </c>
      <c r="J23" s="19">
        <v>30</v>
      </c>
      <c r="K23" s="19">
        <v>8</v>
      </c>
      <c r="L23" s="20">
        <f>G23*2</f>
        <v>14.4</v>
      </c>
      <c r="M23" s="20">
        <f t="shared" si="1"/>
        <v>70.400000000000006</v>
      </c>
    </row>
    <row r="24" spans="1:13">
      <c r="A24" s="18">
        <v>11</v>
      </c>
      <c r="B24" s="21" t="s">
        <v>261</v>
      </c>
      <c r="C24" s="25" t="s">
        <v>247</v>
      </c>
      <c r="D24" s="25" t="s">
        <v>256</v>
      </c>
      <c r="E24" s="19" t="s">
        <v>243</v>
      </c>
      <c r="F24" s="20">
        <v>2.85</v>
      </c>
      <c r="G24" s="20">
        <v>7.2</v>
      </c>
      <c r="H24" s="20">
        <v>7</v>
      </c>
      <c r="I24" s="19">
        <v>10</v>
      </c>
      <c r="J24" s="19">
        <v>30</v>
      </c>
      <c r="K24" s="19">
        <v>4</v>
      </c>
      <c r="L24" s="20">
        <f>G24*2</f>
        <v>14.4</v>
      </c>
      <c r="M24" s="20">
        <f t="shared" si="1"/>
        <v>42.4</v>
      </c>
    </row>
    <row r="25" spans="1:13">
      <c r="A25" s="18">
        <v>12</v>
      </c>
      <c r="B25" s="21" t="s">
        <v>262</v>
      </c>
      <c r="C25" s="25" t="s">
        <v>247</v>
      </c>
      <c r="D25" s="25" t="s">
        <v>256</v>
      </c>
      <c r="E25" s="19" t="s">
        <v>263</v>
      </c>
      <c r="F25" s="20">
        <v>5.84</v>
      </c>
      <c r="G25" s="20">
        <v>7.58</v>
      </c>
      <c r="H25" s="23">
        <v>25</v>
      </c>
      <c r="I25" s="19">
        <v>30</v>
      </c>
      <c r="J25" s="19">
        <v>70</v>
      </c>
      <c r="K25" s="19">
        <v>4</v>
      </c>
      <c r="L25" s="20">
        <f t="shared" ref="L25:L31" si="2">F25*2</f>
        <v>11.68</v>
      </c>
      <c r="M25" s="20">
        <f>SUM((H25*K25)+L25)</f>
        <v>111.68</v>
      </c>
    </row>
    <row r="26" spans="1:13">
      <c r="A26" s="18">
        <v>13</v>
      </c>
      <c r="B26" s="21" t="s">
        <v>264</v>
      </c>
      <c r="C26" s="25" t="s">
        <v>265</v>
      </c>
      <c r="D26" s="25" t="s">
        <v>266</v>
      </c>
      <c r="E26" s="19" t="s">
        <v>263</v>
      </c>
      <c r="F26" s="20">
        <v>14.2</v>
      </c>
      <c r="G26" s="20">
        <v>18.2</v>
      </c>
      <c r="H26" s="22">
        <v>42</v>
      </c>
      <c r="I26" s="19">
        <v>30</v>
      </c>
      <c r="J26" s="19">
        <v>70</v>
      </c>
      <c r="K26" s="19">
        <v>2</v>
      </c>
      <c r="L26" s="14">
        <f t="shared" si="2"/>
        <v>28.4</v>
      </c>
      <c r="M26" s="14">
        <f t="shared" ref="M26:M34" si="3">SUM((H26*K26)+L26)</f>
        <v>112.4</v>
      </c>
    </row>
    <row r="27" spans="1:13">
      <c r="A27" s="18">
        <v>14</v>
      </c>
      <c r="B27" s="21" t="s">
        <v>267</v>
      </c>
      <c r="C27" s="25" t="s">
        <v>247</v>
      </c>
      <c r="D27" s="25" t="s">
        <v>268</v>
      </c>
      <c r="E27" s="19" t="s">
        <v>263</v>
      </c>
      <c r="F27" s="20">
        <v>5.88</v>
      </c>
      <c r="G27" s="20">
        <v>9.8800000000000008</v>
      </c>
      <c r="H27" s="24">
        <f>SUM(50.4+4)</f>
        <v>54.4</v>
      </c>
      <c r="I27" s="19">
        <v>30</v>
      </c>
      <c r="J27" s="19">
        <v>70</v>
      </c>
      <c r="K27" s="19">
        <v>4</v>
      </c>
      <c r="L27" s="14">
        <f t="shared" si="2"/>
        <v>11.76</v>
      </c>
      <c r="M27" s="14">
        <f t="shared" si="3"/>
        <v>229.35999999999999</v>
      </c>
    </row>
    <row r="28" spans="1:13">
      <c r="A28" s="18">
        <v>15</v>
      </c>
      <c r="B28" s="21" t="s">
        <v>269</v>
      </c>
      <c r="C28" s="25" t="s">
        <v>265</v>
      </c>
      <c r="D28" s="25" t="s">
        <v>324</v>
      </c>
      <c r="E28" s="19" t="s">
        <v>263</v>
      </c>
      <c r="F28" s="20">
        <v>9.36</v>
      </c>
      <c r="G28" s="20">
        <v>13.36</v>
      </c>
      <c r="H28" s="22">
        <v>26</v>
      </c>
      <c r="I28" s="19">
        <v>30</v>
      </c>
      <c r="J28" s="19">
        <v>70</v>
      </c>
      <c r="K28" s="19">
        <v>2</v>
      </c>
      <c r="L28" s="14">
        <f t="shared" si="2"/>
        <v>18.72</v>
      </c>
      <c r="M28" s="14">
        <f t="shared" si="3"/>
        <v>70.72</v>
      </c>
    </row>
    <row r="29" spans="1:13">
      <c r="A29" s="18">
        <v>16</v>
      </c>
      <c r="B29" s="21" t="s">
        <v>270</v>
      </c>
      <c r="C29" s="25" t="s">
        <v>265</v>
      </c>
      <c r="D29" s="25" t="s">
        <v>325</v>
      </c>
      <c r="E29" s="19" t="s">
        <v>263</v>
      </c>
      <c r="F29" s="20">
        <v>10.36</v>
      </c>
      <c r="G29" s="20">
        <v>14.36</v>
      </c>
      <c r="H29" s="22">
        <v>25</v>
      </c>
      <c r="I29" s="19">
        <v>30</v>
      </c>
      <c r="J29" s="19">
        <v>70</v>
      </c>
      <c r="K29" s="19">
        <v>2</v>
      </c>
      <c r="L29" s="14">
        <f t="shared" si="2"/>
        <v>20.72</v>
      </c>
      <c r="M29" s="14">
        <f t="shared" si="3"/>
        <v>70.72</v>
      </c>
    </row>
    <row r="30" spans="1:13">
      <c r="A30" s="18">
        <v>17</v>
      </c>
      <c r="B30" s="21" t="s">
        <v>271</v>
      </c>
      <c r="C30" s="25" t="s">
        <v>272</v>
      </c>
      <c r="D30" s="25" t="s">
        <v>326</v>
      </c>
      <c r="E30" s="18" t="s">
        <v>263</v>
      </c>
      <c r="F30" s="26">
        <v>14</v>
      </c>
      <c r="G30" s="26">
        <v>18</v>
      </c>
      <c r="H30" s="24">
        <v>55.3</v>
      </c>
      <c r="I30" s="18">
        <v>30</v>
      </c>
      <c r="J30" s="18">
        <v>70</v>
      </c>
      <c r="K30" s="18">
        <v>1</v>
      </c>
      <c r="L30" s="27">
        <v>0</v>
      </c>
      <c r="M30" s="27">
        <f>SUM((H30*K30)+L30)</f>
        <v>55.3</v>
      </c>
    </row>
    <row r="31" spans="1:13">
      <c r="A31" s="18">
        <v>18</v>
      </c>
      <c r="B31" s="21" t="s">
        <v>273</v>
      </c>
      <c r="C31" s="25" t="s">
        <v>247</v>
      </c>
      <c r="D31" s="25" t="s">
        <v>248</v>
      </c>
      <c r="E31" s="19" t="s">
        <v>263</v>
      </c>
      <c r="F31" s="20">
        <v>15.2</v>
      </c>
      <c r="G31" s="20">
        <v>19.2</v>
      </c>
      <c r="H31" s="22">
        <v>47</v>
      </c>
      <c r="I31" s="19">
        <v>30</v>
      </c>
      <c r="J31" s="19">
        <v>70</v>
      </c>
      <c r="K31" s="19">
        <v>4</v>
      </c>
      <c r="L31" s="14">
        <f t="shared" si="2"/>
        <v>30.4</v>
      </c>
      <c r="M31" s="14">
        <f t="shared" si="3"/>
        <v>218.4</v>
      </c>
    </row>
    <row r="32" spans="1:13">
      <c r="A32" s="18">
        <v>19</v>
      </c>
      <c r="B32" s="21" t="s">
        <v>274</v>
      </c>
      <c r="C32" s="25" t="s">
        <v>272</v>
      </c>
      <c r="D32" s="25" t="s">
        <v>275</v>
      </c>
      <c r="E32" s="19" t="s">
        <v>263</v>
      </c>
      <c r="F32" s="20">
        <v>15.2</v>
      </c>
      <c r="G32" s="20">
        <v>19.2</v>
      </c>
      <c r="H32" s="22">
        <v>56.5</v>
      </c>
      <c r="I32" s="19">
        <v>30</v>
      </c>
      <c r="J32" s="19">
        <v>70</v>
      </c>
      <c r="K32" s="19">
        <v>1</v>
      </c>
      <c r="L32" s="14">
        <v>0</v>
      </c>
      <c r="M32" s="14">
        <f t="shared" si="3"/>
        <v>56.5</v>
      </c>
    </row>
    <row r="33" spans="1:13">
      <c r="A33" s="18">
        <v>20</v>
      </c>
      <c r="B33" s="21" t="s">
        <v>276</v>
      </c>
      <c r="C33" s="25" t="s">
        <v>265</v>
      </c>
      <c r="D33" s="25" t="s">
        <v>328</v>
      </c>
      <c r="E33" s="19" t="s">
        <v>263</v>
      </c>
      <c r="F33" s="20">
        <v>13.4</v>
      </c>
      <c r="G33" s="20">
        <v>9.4</v>
      </c>
      <c r="H33" s="22">
        <v>46</v>
      </c>
      <c r="I33" s="19">
        <v>30</v>
      </c>
      <c r="J33" s="19">
        <v>70</v>
      </c>
      <c r="K33" s="19">
        <v>2</v>
      </c>
      <c r="L33" s="14">
        <f>F33*2</f>
        <v>26.8</v>
      </c>
      <c r="M33" s="14">
        <f t="shared" si="3"/>
        <v>118.8</v>
      </c>
    </row>
    <row r="34" spans="1:13">
      <c r="A34" s="18">
        <v>21</v>
      </c>
      <c r="B34" s="21" t="s">
        <v>277</v>
      </c>
      <c r="C34" s="25" t="s">
        <v>265</v>
      </c>
      <c r="D34" s="25" t="s">
        <v>327</v>
      </c>
      <c r="E34" s="19" t="s">
        <v>263</v>
      </c>
      <c r="F34" s="20">
        <v>17.600000000000001</v>
      </c>
      <c r="G34" s="20">
        <v>21.6</v>
      </c>
      <c r="H34" s="22">
        <v>54</v>
      </c>
      <c r="I34" s="19">
        <v>30</v>
      </c>
      <c r="J34" s="19">
        <v>70</v>
      </c>
      <c r="K34" s="19">
        <v>2</v>
      </c>
      <c r="L34" s="14">
        <f>F34*2</f>
        <v>35.200000000000003</v>
      </c>
      <c r="M34" s="14">
        <f t="shared" si="3"/>
        <v>143.19999999999999</v>
      </c>
    </row>
    <row r="35" spans="1:13" ht="12" thickBot="1">
      <c r="A35" s="28">
        <v>22</v>
      </c>
      <c r="B35" s="29" t="s">
        <v>278</v>
      </c>
      <c r="C35" s="318" t="s">
        <v>247</v>
      </c>
      <c r="D35" s="318" t="s">
        <v>256</v>
      </c>
      <c r="E35" s="30" t="s">
        <v>263</v>
      </c>
      <c r="F35" s="31">
        <v>9.4600000000000009</v>
      </c>
      <c r="G35" s="31">
        <v>13.46</v>
      </c>
      <c r="H35" s="32">
        <f>SUM(38+10)</f>
        <v>48</v>
      </c>
      <c r="I35" s="30">
        <v>30</v>
      </c>
      <c r="J35" s="30">
        <v>70</v>
      </c>
      <c r="K35" s="30">
        <v>4</v>
      </c>
      <c r="L35" s="33">
        <f>F35*2</f>
        <v>18.920000000000002</v>
      </c>
      <c r="M35" s="33">
        <f>SUM((H35*K35)+L35)</f>
        <v>210.92000000000002</v>
      </c>
    </row>
    <row r="36" spans="1:13" ht="12" thickBot="1">
      <c r="A36" s="34" t="s">
        <v>279</v>
      </c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7">
        <f>SUM(M3:M35)</f>
        <v>3037.6400000000008</v>
      </c>
    </row>
  </sheetData>
  <mergeCells count="1">
    <mergeCell ref="A1:M1"/>
  </mergeCells>
  <pageMargins left="0.11811023622047245" right="0.11811023622047245" top="0.59055118110236227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1. Coleta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8-Setores Coleta</vt:lpstr>
      <vt:lpstr>'1. Coleta'!Area_de_impressao</vt:lpstr>
      <vt:lpstr>'2.Encargos Sociais'!Area_de_impressao</vt:lpstr>
      <vt:lpstr>'1. Coleta'!Titulos_de_impressao</vt:lpstr>
    </vt:vector>
  </TitlesOfParts>
  <Company>dmlu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SetorCompras</cp:lastModifiedBy>
  <cp:lastPrinted>2020-07-14T12:46:06Z</cp:lastPrinted>
  <dcterms:created xsi:type="dcterms:W3CDTF">2000-12-13T10:02:50Z</dcterms:created>
  <dcterms:modified xsi:type="dcterms:W3CDTF">2020-08-27T15:04:20Z</dcterms:modified>
</cp:coreProperties>
</file>